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Projects\2021\2021 EricKendrick\"/>
    </mc:Choice>
  </mc:AlternateContent>
  <xr:revisionPtr revIDLastSave="0" documentId="8_{39500059-D4D6-4BAE-833F-6A23A6F6C50F}" xr6:coauthVersionLast="47" xr6:coauthVersionMax="47" xr10:uidLastSave="{00000000-0000-0000-0000-000000000000}"/>
  <bookViews>
    <workbookView xWindow="-110" yWindow="-110" windowWidth="38620" windowHeight="21360" xr2:uid="{3E2DD5E1-70C5-4873-929D-A9E59E797CF0}"/>
  </bookViews>
  <sheets>
    <sheet name="Questionnaire" sheetId="3" r:id="rId1"/>
    <sheet name="Analysis" sheetId="4" r:id="rId2"/>
    <sheet name="⚙ Configure" sheetId="2" r:id="rId3"/>
    <sheet name="·" sheetId="5" r:id="rId4"/>
  </sheets>
  <definedNames>
    <definedName name="Analysis_Criticality">·!$AW$44</definedName>
    <definedName name="Analysis_MTO">·!$AW$42</definedName>
    <definedName name="ComplianceRatings">·!$AT$3:$AU$12</definedName>
    <definedName name="CustomerRatings">·!$A$3:$B$12</definedName>
    <definedName name="FinancialRatings">·!$P$3:$Q$12</definedName>
    <definedName name="ReputationalRatings">·!$AE$3:$AF$12</definedName>
    <definedName name="TimePeriods">·!$B$44:$M$44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29" i="5" l="1"/>
  <c r="BJ30" i="5"/>
  <c r="BJ31" i="5"/>
  <c r="BJ32" i="5"/>
  <c r="D42" i="5" l="1"/>
  <c r="B42" i="5"/>
  <c r="C43" i="5"/>
  <c r="D43" i="5"/>
  <c r="E43" i="5"/>
  <c r="F43" i="5"/>
  <c r="G43" i="5"/>
  <c r="H43" i="5"/>
  <c r="I43" i="5"/>
  <c r="J43" i="5"/>
  <c r="K43" i="5"/>
  <c r="L43" i="5"/>
  <c r="M43" i="5"/>
  <c r="B43" i="5"/>
  <c r="B53" i="5" s="1"/>
  <c r="C42" i="5"/>
  <c r="E42" i="5"/>
  <c r="F42" i="5"/>
  <c r="G42" i="5"/>
  <c r="H42" i="5"/>
  <c r="I42" i="5"/>
  <c r="J42" i="5"/>
  <c r="K42" i="5"/>
  <c r="L42" i="5"/>
  <c r="M42" i="5"/>
  <c r="C44" i="5" l="1"/>
  <c r="S3" i="2" s="1"/>
  <c r="K44" i="5"/>
  <c r="I44" i="5"/>
  <c r="F44" i="5"/>
  <c r="E50" i="5"/>
  <c r="L44" i="5"/>
  <c r="G44" i="5"/>
  <c r="E53" i="5"/>
  <c r="J53" i="5"/>
  <c r="G53" i="5"/>
  <c r="L53" i="5"/>
  <c r="H53" i="5"/>
  <c r="M53" i="5"/>
  <c r="I53" i="5"/>
  <c r="D53" i="5"/>
  <c r="F53" i="5"/>
  <c r="K53" i="5"/>
  <c r="C53" i="5"/>
  <c r="D44" i="5"/>
  <c r="M44" i="5"/>
  <c r="J44" i="5"/>
  <c r="G50" i="5"/>
  <c r="F50" i="5"/>
  <c r="H44" i="5"/>
  <c r="B44" i="5"/>
  <c r="R16" i="2" s="1"/>
  <c r="E44" i="5"/>
  <c r="BJ38" i="5"/>
  <c r="BJ37" i="5"/>
  <c r="BJ3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AV15" i="5"/>
  <c r="AW15" i="5"/>
  <c r="AX15" i="5"/>
  <c r="AY15" i="5"/>
  <c r="AZ15" i="5"/>
  <c r="BA15" i="5"/>
  <c r="BB15" i="5"/>
  <c r="BC15" i="5"/>
  <c r="BD15" i="5"/>
  <c r="BE15" i="5"/>
  <c r="BF15" i="5"/>
  <c r="AU15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G15" i="5"/>
  <c r="AH15" i="5"/>
  <c r="AI15" i="5"/>
  <c r="AJ15" i="5"/>
  <c r="AK15" i="5"/>
  <c r="AL15" i="5"/>
  <c r="AM15" i="5"/>
  <c r="AN15" i="5"/>
  <c r="AO15" i="5"/>
  <c r="AP15" i="5"/>
  <c r="AQ15" i="5"/>
  <c r="AF15" i="5"/>
  <c r="BJ28" i="5"/>
  <c r="AV27" i="5"/>
  <c r="AW27" i="5"/>
  <c r="AX27" i="5"/>
  <c r="AY27" i="5"/>
  <c r="AZ27" i="5"/>
  <c r="BA27" i="5"/>
  <c r="BB27" i="5"/>
  <c r="BC27" i="5"/>
  <c r="BD27" i="5"/>
  <c r="BE27" i="5"/>
  <c r="BF27" i="5"/>
  <c r="AU27" i="5"/>
  <c r="AG27" i="5"/>
  <c r="AH27" i="5"/>
  <c r="AI27" i="5"/>
  <c r="AJ27" i="5"/>
  <c r="AK27" i="5"/>
  <c r="AL27" i="5"/>
  <c r="AM27" i="5"/>
  <c r="AN27" i="5"/>
  <c r="AO27" i="5"/>
  <c r="AP27" i="5"/>
  <c r="AQ27" i="5"/>
  <c r="AF27" i="5"/>
  <c r="R27" i="5"/>
  <c r="S27" i="5"/>
  <c r="T27" i="5"/>
  <c r="U27" i="5"/>
  <c r="V27" i="5"/>
  <c r="W27" i="5"/>
  <c r="X27" i="5"/>
  <c r="Y27" i="5"/>
  <c r="Z27" i="5"/>
  <c r="AA27" i="5"/>
  <c r="AB27" i="5"/>
  <c r="Q27" i="5"/>
  <c r="C27" i="5"/>
  <c r="D27" i="5"/>
  <c r="E27" i="5"/>
  <c r="F27" i="5"/>
  <c r="G27" i="5"/>
  <c r="H27" i="5"/>
  <c r="I27" i="5"/>
  <c r="J27" i="5"/>
  <c r="K27" i="5"/>
  <c r="L27" i="5"/>
  <c r="M27" i="5"/>
  <c r="B27" i="5"/>
  <c r="BJ27" i="5"/>
  <c r="BJ24" i="5"/>
  <c r="BJ23" i="5"/>
  <c r="BJ22" i="5"/>
  <c r="BJ21" i="5"/>
  <c r="BJ20" i="5"/>
  <c r="BJ19" i="5"/>
  <c r="BJ18" i="5"/>
  <c r="BJ17" i="5"/>
  <c r="BJ16" i="5"/>
  <c r="BJ15" i="5"/>
  <c r="Q16" i="5"/>
  <c r="R16" i="5"/>
  <c r="S16" i="5"/>
  <c r="T16" i="5"/>
  <c r="U16" i="5"/>
  <c r="V16" i="5"/>
  <c r="W16" i="5"/>
  <c r="X16" i="5"/>
  <c r="Y16" i="5"/>
  <c r="Z16" i="5"/>
  <c r="AA16" i="5"/>
  <c r="AB16" i="5"/>
  <c r="Q17" i="5"/>
  <c r="R17" i="5"/>
  <c r="S17" i="5"/>
  <c r="T17" i="5"/>
  <c r="U17" i="5"/>
  <c r="V17" i="5"/>
  <c r="W17" i="5"/>
  <c r="X17" i="5"/>
  <c r="Y17" i="5"/>
  <c r="Z17" i="5"/>
  <c r="AA17" i="5"/>
  <c r="AB17" i="5"/>
  <c r="Q18" i="5"/>
  <c r="R18" i="5"/>
  <c r="S18" i="5"/>
  <c r="T18" i="5"/>
  <c r="U18" i="5"/>
  <c r="V18" i="5"/>
  <c r="W18" i="5"/>
  <c r="X18" i="5"/>
  <c r="Y18" i="5"/>
  <c r="Z18" i="5"/>
  <c r="AA18" i="5"/>
  <c r="AB18" i="5"/>
  <c r="Q19" i="5"/>
  <c r="R19" i="5"/>
  <c r="S19" i="5"/>
  <c r="T19" i="5"/>
  <c r="U19" i="5"/>
  <c r="V19" i="5"/>
  <c r="W19" i="5"/>
  <c r="X19" i="5"/>
  <c r="Y19" i="5"/>
  <c r="Z19" i="5"/>
  <c r="AA19" i="5"/>
  <c r="AB19" i="5"/>
  <c r="Q20" i="5"/>
  <c r="R20" i="5"/>
  <c r="S20" i="5"/>
  <c r="T20" i="5"/>
  <c r="U20" i="5"/>
  <c r="V20" i="5"/>
  <c r="W20" i="5"/>
  <c r="X20" i="5"/>
  <c r="Y20" i="5"/>
  <c r="Z20" i="5"/>
  <c r="AA20" i="5"/>
  <c r="AB20" i="5"/>
  <c r="Q21" i="5"/>
  <c r="R21" i="5"/>
  <c r="S21" i="5"/>
  <c r="T21" i="5"/>
  <c r="U21" i="5"/>
  <c r="V21" i="5"/>
  <c r="W21" i="5"/>
  <c r="X21" i="5"/>
  <c r="Y21" i="5"/>
  <c r="Z21" i="5"/>
  <c r="AA21" i="5"/>
  <c r="AB21" i="5"/>
  <c r="Q22" i="5"/>
  <c r="R22" i="5"/>
  <c r="S22" i="5"/>
  <c r="T22" i="5"/>
  <c r="U22" i="5"/>
  <c r="V22" i="5"/>
  <c r="W22" i="5"/>
  <c r="X22" i="5"/>
  <c r="Y22" i="5"/>
  <c r="Z22" i="5"/>
  <c r="AA22" i="5"/>
  <c r="AB22" i="5"/>
  <c r="Q23" i="5"/>
  <c r="R23" i="5"/>
  <c r="S23" i="5"/>
  <c r="T23" i="5"/>
  <c r="U23" i="5"/>
  <c r="V23" i="5"/>
  <c r="W23" i="5"/>
  <c r="X23" i="5"/>
  <c r="Y23" i="5"/>
  <c r="Z23" i="5"/>
  <c r="AA23" i="5"/>
  <c r="AB23" i="5"/>
  <c r="Q24" i="5"/>
  <c r="R24" i="5"/>
  <c r="S24" i="5"/>
  <c r="T24" i="5"/>
  <c r="U24" i="5"/>
  <c r="V24" i="5"/>
  <c r="W24" i="5"/>
  <c r="X24" i="5"/>
  <c r="Y24" i="5"/>
  <c r="Z24" i="5"/>
  <c r="AA24" i="5"/>
  <c r="AB24" i="5"/>
  <c r="R15" i="5"/>
  <c r="S15" i="5"/>
  <c r="T15" i="5"/>
  <c r="U15" i="5"/>
  <c r="V15" i="5"/>
  <c r="W15" i="5"/>
  <c r="X15" i="5"/>
  <c r="Y15" i="5"/>
  <c r="Z15" i="5"/>
  <c r="AA15" i="5"/>
  <c r="AB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B23" i="5"/>
  <c r="C23" i="5"/>
  <c r="D23" i="5"/>
  <c r="E23" i="5"/>
  <c r="F23" i="5"/>
  <c r="G23" i="5"/>
  <c r="H23" i="5"/>
  <c r="I23" i="5"/>
  <c r="J23" i="5"/>
  <c r="K23" i="5"/>
  <c r="L23" i="5"/>
  <c r="M23" i="5"/>
  <c r="B24" i="5"/>
  <c r="C24" i="5"/>
  <c r="D24" i="5"/>
  <c r="E24" i="5"/>
  <c r="F24" i="5"/>
  <c r="G24" i="5"/>
  <c r="H24" i="5"/>
  <c r="I24" i="5"/>
  <c r="J24" i="5"/>
  <c r="K24" i="5"/>
  <c r="L24" i="5"/>
  <c r="M24" i="5"/>
  <c r="C15" i="5"/>
  <c r="D15" i="5"/>
  <c r="E15" i="5"/>
  <c r="F15" i="5"/>
  <c r="G15" i="5"/>
  <c r="H15" i="5"/>
  <c r="I15" i="5"/>
  <c r="J15" i="5"/>
  <c r="K15" i="5"/>
  <c r="L15" i="5"/>
  <c r="M15" i="5"/>
  <c r="B15" i="5"/>
  <c r="Q15" i="5"/>
  <c r="AV36" i="5"/>
  <c r="AW36" i="5"/>
  <c r="AX36" i="5"/>
  <c r="AY36" i="5"/>
  <c r="AZ36" i="5"/>
  <c r="BA36" i="5"/>
  <c r="BB36" i="5"/>
  <c r="BC36" i="5"/>
  <c r="BD36" i="5"/>
  <c r="BE36" i="5"/>
  <c r="BF36" i="5"/>
  <c r="AU36" i="5"/>
  <c r="AG36" i="5"/>
  <c r="AH36" i="5"/>
  <c r="AI36" i="5"/>
  <c r="AJ36" i="5"/>
  <c r="AK36" i="5"/>
  <c r="AL36" i="5"/>
  <c r="AM36" i="5"/>
  <c r="AN36" i="5"/>
  <c r="AO36" i="5"/>
  <c r="AP36" i="5"/>
  <c r="AQ36" i="5"/>
  <c r="AF36" i="5"/>
  <c r="R36" i="5"/>
  <c r="S36" i="5"/>
  <c r="T36" i="5"/>
  <c r="U36" i="5"/>
  <c r="V36" i="5"/>
  <c r="W36" i="5"/>
  <c r="X36" i="5"/>
  <c r="Y36" i="5"/>
  <c r="Z36" i="5"/>
  <c r="AA36" i="5"/>
  <c r="AB36" i="5"/>
  <c r="Q36" i="5"/>
  <c r="M36" i="5" l="1"/>
  <c r="K36" i="5"/>
  <c r="F36" i="5"/>
  <c r="Q28" i="5"/>
  <c r="Q32" i="5" s="1"/>
  <c r="Z28" i="5"/>
  <c r="Z32" i="5" s="1"/>
  <c r="D18" i="3"/>
  <c r="D6" i="3"/>
  <c r="D42" i="3"/>
  <c r="D30" i="3"/>
  <c r="C15" i="4"/>
  <c r="C8" i="4"/>
  <c r="D16" i="2"/>
  <c r="D3" i="2"/>
  <c r="S16" i="2"/>
  <c r="J28" i="5"/>
  <c r="X28" i="5"/>
  <c r="H36" i="5"/>
  <c r="W28" i="5"/>
  <c r="G36" i="5"/>
  <c r="Y28" i="5"/>
  <c r="I36" i="5"/>
  <c r="H28" i="5"/>
  <c r="V28" i="5"/>
  <c r="G28" i="5"/>
  <c r="U28" i="5"/>
  <c r="F28" i="5"/>
  <c r="T28" i="5"/>
  <c r="E28" i="5"/>
  <c r="S28" i="5"/>
  <c r="R28" i="5"/>
  <c r="C36" i="5"/>
  <c r="B28" i="5"/>
  <c r="B32" i="5" s="1"/>
  <c r="AA28" i="5"/>
  <c r="AO28" i="5"/>
  <c r="AB28" i="5"/>
  <c r="M28" i="5"/>
  <c r="L28" i="5"/>
  <c r="C28" i="5"/>
  <c r="BD28" i="5"/>
  <c r="L36" i="5"/>
  <c r="K28" i="5"/>
  <c r="AN28" i="5"/>
  <c r="BC28" i="5"/>
  <c r="BB28" i="5"/>
  <c r="J36" i="5"/>
  <c r="I28" i="5"/>
  <c r="AL28" i="5"/>
  <c r="BA28" i="5"/>
  <c r="AK28" i="5"/>
  <c r="AZ28" i="5"/>
  <c r="AM28" i="5"/>
  <c r="AJ28" i="5"/>
  <c r="AY28" i="5"/>
  <c r="AI28" i="5"/>
  <c r="AX28" i="5"/>
  <c r="AH28" i="5"/>
  <c r="AW28" i="5"/>
  <c r="E36" i="5"/>
  <c r="AG28" i="5"/>
  <c r="AV28" i="5"/>
  <c r="AF28" i="5"/>
  <c r="AU28" i="5"/>
  <c r="AQ28" i="5"/>
  <c r="BF28" i="5"/>
  <c r="B36" i="5"/>
  <c r="AP28" i="5"/>
  <c r="BE28" i="5"/>
  <c r="D28" i="5"/>
  <c r="D36" i="5"/>
  <c r="AC36" i="5"/>
  <c r="AR36" i="5"/>
  <c r="BG36" i="5"/>
  <c r="V3" i="2"/>
  <c r="V16" i="2"/>
  <c r="Y3" i="2"/>
  <c r="Y16" i="2"/>
  <c r="U3" i="2"/>
  <c r="U16" i="2"/>
  <c r="AA3" i="2"/>
  <c r="AA16" i="2"/>
  <c r="T3" i="2"/>
  <c r="T16" i="2"/>
  <c r="X3" i="2"/>
  <c r="X16" i="2"/>
  <c r="Z3" i="2"/>
  <c r="Z16" i="2"/>
  <c r="AC3" i="2"/>
  <c r="AC16" i="2"/>
  <c r="W3" i="2"/>
  <c r="W16" i="2"/>
  <c r="AB3" i="2"/>
  <c r="AB16" i="2"/>
  <c r="C16" i="2"/>
  <c r="R3" i="2"/>
  <c r="K3" i="2"/>
  <c r="K16" i="2"/>
  <c r="N3" i="2"/>
  <c r="N16" i="2"/>
  <c r="H3" i="2"/>
  <c r="H16" i="2"/>
  <c r="M3" i="2"/>
  <c r="M16" i="2"/>
  <c r="G3" i="2"/>
  <c r="G16" i="2"/>
  <c r="F3" i="2"/>
  <c r="F16" i="2"/>
  <c r="J3" i="2"/>
  <c r="J16" i="2"/>
  <c r="L3" i="2"/>
  <c r="L16" i="2"/>
  <c r="I3" i="2"/>
  <c r="I16" i="2"/>
  <c r="E3" i="2"/>
  <c r="E16" i="2"/>
  <c r="B15" i="4"/>
  <c r="C3" i="2"/>
  <c r="H8" i="4"/>
  <c r="H15" i="4"/>
  <c r="D8" i="4"/>
  <c r="D15" i="4"/>
  <c r="G8" i="4"/>
  <c r="G15" i="4"/>
  <c r="L8" i="4"/>
  <c r="L15" i="4"/>
  <c r="I8" i="4"/>
  <c r="I15" i="4"/>
  <c r="F8" i="4"/>
  <c r="F15" i="4"/>
  <c r="E8" i="4"/>
  <c r="E15" i="4"/>
  <c r="K8" i="4"/>
  <c r="K15" i="4"/>
  <c r="J8" i="4"/>
  <c r="J15" i="4"/>
  <c r="M8" i="4"/>
  <c r="M15" i="4"/>
  <c r="C42" i="3"/>
  <c r="B8" i="4"/>
  <c r="K30" i="3"/>
  <c r="K42" i="3"/>
  <c r="N30" i="3"/>
  <c r="N42" i="3"/>
  <c r="F30" i="3"/>
  <c r="F42" i="3"/>
  <c r="E30" i="3"/>
  <c r="E42" i="3"/>
  <c r="I30" i="3"/>
  <c r="I42" i="3"/>
  <c r="M30" i="3"/>
  <c r="M42" i="3"/>
  <c r="G30" i="3"/>
  <c r="G42" i="3"/>
  <c r="L30" i="3"/>
  <c r="L42" i="3"/>
  <c r="H30" i="3"/>
  <c r="H42" i="3"/>
  <c r="J30" i="3"/>
  <c r="J42" i="3"/>
  <c r="C18" i="3"/>
  <c r="C30" i="3"/>
  <c r="E6" i="3"/>
  <c r="E18" i="3"/>
  <c r="H6" i="3"/>
  <c r="H18" i="3"/>
  <c r="M6" i="3"/>
  <c r="M18" i="3"/>
  <c r="G6" i="3"/>
  <c r="G18" i="3"/>
  <c r="F6" i="3"/>
  <c r="F18" i="3"/>
  <c r="L6" i="3"/>
  <c r="L18" i="3"/>
  <c r="I6" i="3"/>
  <c r="I18" i="3"/>
  <c r="J6" i="3"/>
  <c r="J18" i="3"/>
  <c r="K6" i="3"/>
  <c r="K18" i="3"/>
  <c r="N6" i="3"/>
  <c r="N18" i="3"/>
  <c r="C6" i="3"/>
  <c r="G46" i="5"/>
  <c r="F46" i="5"/>
  <c r="E46" i="5"/>
  <c r="Z29" i="5" l="1"/>
  <c r="Z30" i="5"/>
  <c r="Z31" i="5"/>
  <c r="Q29" i="5"/>
  <c r="Q30" i="5"/>
  <c r="Q31" i="5"/>
  <c r="BB32" i="5"/>
  <c r="BB31" i="5"/>
  <c r="AX32" i="5"/>
  <c r="AX31" i="5"/>
  <c r="AY32" i="5"/>
  <c r="AY31" i="5"/>
  <c r="BE32" i="5"/>
  <c r="BE31" i="5"/>
  <c r="BC32" i="5"/>
  <c r="BC31" i="5"/>
  <c r="BF32" i="5"/>
  <c r="BF31" i="5"/>
  <c r="AW31" i="5"/>
  <c r="AW32" i="5"/>
  <c r="AV32" i="5"/>
  <c r="AV31" i="5"/>
  <c r="BA32" i="5"/>
  <c r="BA31" i="5"/>
  <c r="BD32" i="5"/>
  <c r="BD31" i="5"/>
  <c r="AZ32" i="5"/>
  <c r="AZ31" i="5"/>
  <c r="AU32" i="5"/>
  <c r="AU31" i="5"/>
  <c r="AP31" i="5"/>
  <c r="AP32" i="5"/>
  <c r="AI32" i="5"/>
  <c r="AI31" i="5"/>
  <c r="AN32" i="5"/>
  <c r="AN31" i="5"/>
  <c r="AQ32" i="5"/>
  <c r="AQ31" i="5"/>
  <c r="AM31" i="5"/>
  <c r="AM32" i="5"/>
  <c r="AK32" i="5"/>
  <c r="AK31" i="5"/>
  <c r="AG31" i="5"/>
  <c r="AG32" i="5"/>
  <c r="AL31" i="5"/>
  <c r="AL32" i="5"/>
  <c r="AJ32" i="5"/>
  <c r="AJ31" i="5"/>
  <c r="AO32" i="5"/>
  <c r="AO31" i="5"/>
  <c r="AH31" i="5"/>
  <c r="AH32" i="5"/>
  <c r="AF31" i="5"/>
  <c r="AF32" i="5"/>
  <c r="Y32" i="5"/>
  <c r="Y31" i="5"/>
  <c r="R32" i="5"/>
  <c r="R31" i="5"/>
  <c r="W31" i="5"/>
  <c r="W32" i="5"/>
  <c r="S31" i="5"/>
  <c r="S32" i="5"/>
  <c r="X31" i="5"/>
  <c r="X32" i="5"/>
  <c r="AA32" i="5"/>
  <c r="AA31" i="5"/>
  <c r="T31" i="5"/>
  <c r="T32" i="5"/>
  <c r="U32" i="5"/>
  <c r="U31" i="5"/>
  <c r="AB32" i="5"/>
  <c r="AB31" i="5"/>
  <c r="V32" i="5"/>
  <c r="V31" i="5"/>
  <c r="D31" i="5"/>
  <c r="D32" i="5"/>
  <c r="I32" i="5"/>
  <c r="I31" i="5"/>
  <c r="K31" i="5"/>
  <c r="K32" i="5"/>
  <c r="E32" i="5"/>
  <c r="E31" i="5"/>
  <c r="J32" i="5"/>
  <c r="J31" i="5"/>
  <c r="C32" i="5"/>
  <c r="C31" i="5"/>
  <c r="F32" i="5"/>
  <c r="F31" i="5"/>
  <c r="H31" i="5"/>
  <c r="H32" i="5"/>
  <c r="L31" i="5"/>
  <c r="L32" i="5"/>
  <c r="M32" i="5"/>
  <c r="M31" i="5"/>
  <c r="G31" i="5"/>
  <c r="G32" i="5"/>
  <c r="B29" i="5"/>
  <c r="AW46" i="5" s="1"/>
  <c r="B31" i="5"/>
  <c r="AW30" i="5"/>
  <c r="AW29" i="5"/>
  <c r="AX30" i="5"/>
  <c r="AX29" i="5"/>
  <c r="BB30" i="5"/>
  <c r="BB29" i="5"/>
  <c r="BE30" i="5"/>
  <c r="BE29" i="5"/>
  <c r="BC30" i="5"/>
  <c r="BC29" i="5"/>
  <c r="BA30" i="5"/>
  <c r="BA29" i="5"/>
  <c r="BF30" i="5"/>
  <c r="BF29" i="5"/>
  <c r="AY30" i="5"/>
  <c r="AY29" i="5"/>
  <c r="BD30" i="5"/>
  <c r="BD29" i="5"/>
  <c r="AV29" i="5"/>
  <c r="AV30" i="5"/>
  <c r="AZ30" i="5"/>
  <c r="AZ29" i="5"/>
  <c r="AU30" i="5"/>
  <c r="AU29" i="5"/>
  <c r="BC46" i="5" s="1"/>
  <c r="AP30" i="5"/>
  <c r="AP29" i="5"/>
  <c r="AN30" i="5"/>
  <c r="AN29" i="5"/>
  <c r="AJ30" i="5"/>
  <c r="AJ29" i="5"/>
  <c r="AQ30" i="5"/>
  <c r="AQ29" i="5"/>
  <c r="AM30" i="5"/>
  <c r="AM29" i="5"/>
  <c r="AL30" i="5"/>
  <c r="AL29" i="5"/>
  <c r="AO30" i="5"/>
  <c r="AO29" i="5"/>
  <c r="AH30" i="5"/>
  <c r="AH29" i="5"/>
  <c r="AK30" i="5"/>
  <c r="AK29" i="5"/>
  <c r="AG29" i="5"/>
  <c r="AG30" i="5"/>
  <c r="AI30" i="5"/>
  <c r="AI29" i="5"/>
  <c r="AF29" i="5"/>
  <c r="AF30" i="5"/>
  <c r="W30" i="5"/>
  <c r="W29" i="5"/>
  <c r="Y30" i="5"/>
  <c r="Y29" i="5"/>
  <c r="R29" i="5"/>
  <c r="R30" i="5"/>
  <c r="S30" i="5"/>
  <c r="S29" i="5"/>
  <c r="AA30" i="5"/>
  <c r="AA29" i="5"/>
  <c r="U30" i="5"/>
  <c r="U29" i="5"/>
  <c r="T30" i="5"/>
  <c r="T29" i="5"/>
  <c r="X30" i="5"/>
  <c r="X29" i="5"/>
  <c r="AB30" i="5"/>
  <c r="AB29" i="5"/>
  <c r="V29" i="5"/>
  <c r="V30" i="5"/>
  <c r="M30" i="5"/>
  <c r="M29" i="5"/>
  <c r="I30" i="5"/>
  <c r="I29" i="5"/>
  <c r="G30" i="5"/>
  <c r="G29" i="5"/>
  <c r="D30" i="5"/>
  <c r="D29" i="5"/>
  <c r="F30" i="5"/>
  <c r="F29" i="5"/>
  <c r="K30" i="5"/>
  <c r="K29" i="5"/>
  <c r="J30" i="5"/>
  <c r="J29" i="5"/>
  <c r="H30" i="5"/>
  <c r="H29" i="5"/>
  <c r="C29" i="5"/>
  <c r="C30" i="5"/>
  <c r="E30" i="5"/>
  <c r="E29" i="5"/>
  <c r="L30" i="5"/>
  <c r="L29" i="5"/>
  <c r="B30" i="5"/>
  <c r="N36" i="5"/>
  <c r="F45" i="5"/>
  <c r="G54" i="5"/>
  <c r="G45" i="5"/>
  <c r="E45" i="5"/>
  <c r="F54" i="5"/>
  <c r="AF12" i="5"/>
  <c r="AF11" i="5"/>
  <c r="Q38" i="3" s="1"/>
  <c r="AF10" i="5"/>
  <c r="Q37" i="3" s="1"/>
  <c r="AF9" i="5"/>
  <c r="Q36" i="3" s="1"/>
  <c r="AF8" i="5"/>
  <c r="Q35" i="3" s="1"/>
  <c r="AF7" i="5"/>
  <c r="Q34" i="3" s="1"/>
  <c r="AF6" i="5"/>
  <c r="Q33" i="3" s="1"/>
  <c r="AF5" i="5"/>
  <c r="Q32" i="3" s="1"/>
  <c r="AF4" i="5"/>
  <c r="Q31" i="3" s="1"/>
  <c r="AF3" i="5"/>
  <c r="Q30" i="3" s="1"/>
  <c r="B3" i="5"/>
  <c r="Q6" i="3" s="1"/>
  <c r="B4" i="5"/>
  <c r="Q7" i="3" s="1"/>
  <c r="B5" i="5"/>
  <c r="Q8" i="3" s="1"/>
  <c r="B6" i="5"/>
  <c r="Q9" i="3" s="1"/>
  <c r="B7" i="5"/>
  <c r="Q10" i="3" s="1"/>
  <c r="B8" i="5"/>
  <c r="Q11" i="3" s="1"/>
  <c r="B9" i="5"/>
  <c r="Q12" i="3" s="1"/>
  <c r="B10" i="5"/>
  <c r="Q13" i="3" s="1"/>
  <c r="B11" i="5"/>
  <c r="Q14" i="3" s="1"/>
  <c r="B12" i="5"/>
  <c r="Q3" i="5"/>
  <c r="Q18" i="3" s="1"/>
  <c r="Q4" i="5"/>
  <c r="Q19" i="3" s="1"/>
  <c r="Q5" i="5"/>
  <c r="Q20" i="3" s="1"/>
  <c r="Q6" i="5"/>
  <c r="Q21" i="3" s="1"/>
  <c r="Q7" i="5"/>
  <c r="Q22" i="3" s="1"/>
  <c r="Q8" i="5"/>
  <c r="Q23" i="3" s="1"/>
  <c r="Q9" i="5"/>
  <c r="Q24" i="3" s="1"/>
  <c r="Q10" i="5"/>
  <c r="Q25" i="3" s="1"/>
  <c r="Q11" i="5"/>
  <c r="Q26" i="3" s="1"/>
  <c r="Q12" i="5"/>
  <c r="AY46" i="5" l="1"/>
  <c r="BA47" i="5"/>
  <c r="Z33" i="5"/>
  <c r="Q33" i="5"/>
  <c r="AY47" i="5"/>
  <c r="AY49" i="5"/>
  <c r="BA48" i="5"/>
  <c r="BC49" i="5"/>
  <c r="BA46" i="5"/>
  <c r="BE46" i="5" s="1"/>
  <c r="AW49" i="5"/>
  <c r="AY48" i="5"/>
  <c r="AW48" i="5"/>
  <c r="BC47" i="5"/>
  <c r="AW47" i="5"/>
  <c r="BA49" i="5"/>
  <c r="BC48" i="5"/>
  <c r="BG32" i="5"/>
  <c r="BG30" i="5"/>
  <c r="AC29" i="5"/>
  <c r="BG29" i="5"/>
  <c r="AR32" i="5"/>
  <c r="AR30" i="5"/>
  <c r="AR29" i="5"/>
  <c r="AC30" i="5"/>
  <c r="AC32" i="5"/>
  <c r="N30" i="5"/>
  <c r="N29" i="5"/>
  <c r="AZ33" i="5"/>
  <c r="BE33" i="5"/>
  <c r="AV33" i="5"/>
  <c r="BD33" i="5"/>
  <c r="BB33" i="5"/>
  <c r="AX33" i="5"/>
  <c r="AW33" i="5"/>
  <c r="BC33" i="5"/>
  <c r="AY33" i="5"/>
  <c r="BF33" i="5"/>
  <c r="BA33" i="5"/>
  <c r="AU33" i="5"/>
  <c r="AK33" i="5"/>
  <c r="AJ33" i="5"/>
  <c r="AG33" i="5"/>
  <c r="AH33" i="5"/>
  <c r="AN33" i="5"/>
  <c r="AP33" i="5"/>
  <c r="AQ33" i="5"/>
  <c r="AL33" i="5"/>
  <c r="AI33" i="5"/>
  <c r="AM33" i="5"/>
  <c r="AO33" i="5"/>
  <c r="AF33" i="5"/>
  <c r="V33" i="5"/>
  <c r="AB33" i="5"/>
  <c r="R33" i="5"/>
  <c r="AA33" i="5"/>
  <c r="S33" i="5"/>
  <c r="X33" i="5"/>
  <c r="T33" i="5"/>
  <c r="W33" i="5"/>
  <c r="Y33" i="5"/>
  <c r="U33" i="5"/>
  <c r="B33" i="5"/>
  <c r="J33" i="5"/>
  <c r="M33" i="5"/>
  <c r="H33" i="5"/>
  <c r="G33" i="5"/>
  <c r="C33" i="5"/>
  <c r="I33" i="5"/>
  <c r="K33" i="5"/>
  <c r="L33" i="5"/>
  <c r="F33" i="5"/>
  <c r="E33" i="5"/>
  <c r="D33" i="5"/>
  <c r="Q27" i="3"/>
  <c r="Q15" i="3"/>
  <c r="Q39" i="3"/>
  <c r="AU11" i="5"/>
  <c r="Q50" i="3" s="1"/>
  <c r="AU10" i="5"/>
  <c r="Q49" i="3" s="1"/>
  <c r="AU9" i="5"/>
  <c r="Q48" i="3" s="1"/>
  <c r="AU8" i="5"/>
  <c r="Q47" i="3" s="1"/>
  <c r="AU7" i="5"/>
  <c r="Q46" i="3" s="1"/>
  <c r="AU6" i="5"/>
  <c r="Q45" i="3" s="1"/>
  <c r="AU5" i="5"/>
  <c r="Q44" i="3" s="1"/>
  <c r="AU4" i="5"/>
  <c r="Q43" i="3" s="1"/>
  <c r="AU3" i="5"/>
  <c r="Q42" i="3" s="1"/>
  <c r="AU12" i="5"/>
  <c r="BG46" i="5" l="1"/>
  <c r="BG47" i="5"/>
  <c r="BE47" i="5"/>
  <c r="BE48" i="5"/>
  <c r="BG48" i="5"/>
  <c r="BE49" i="5"/>
  <c r="BG49" i="5"/>
  <c r="BG31" i="5"/>
  <c r="AR31" i="5"/>
  <c r="AC31" i="5"/>
  <c r="N31" i="5"/>
  <c r="N32" i="5"/>
  <c r="BK33" i="5"/>
  <c r="BP33" i="5"/>
  <c r="BM33" i="5"/>
  <c r="BO33" i="5"/>
  <c r="BU33" i="5"/>
  <c r="BJ33" i="5"/>
  <c r="BS33" i="5"/>
  <c r="BR33" i="5"/>
  <c r="BL33" i="5"/>
  <c r="BN33" i="5"/>
  <c r="BT33" i="5"/>
  <c r="BQ33" i="5"/>
  <c r="Q51" i="3"/>
  <c r="A1" i="4"/>
  <c r="AW44" i="5" l="1"/>
  <c r="E4" i="4" s="1"/>
  <c r="AW42" i="5"/>
  <c r="J4" i="4" s="1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B19" i="4"/>
  <c r="B18" i="4"/>
  <c r="B17" i="4"/>
  <c r="C16" i="4"/>
  <c r="D16" i="4"/>
  <c r="E16" i="4"/>
  <c r="F16" i="4"/>
  <c r="G16" i="4"/>
  <c r="H16" i="4"/>
  <c r="I16" i="4"/>
  <c r="J16" i="4"/>
  <c r="K16" i="4"/>
  <c r="L16" i="4"/>
  <c r="M16" i="4"/>
  <c r="B16" i="4"/>
  <c r="A4" i="4" l="1"/>
  <c r="C9" i="4" l="1"/>
  <c r="D9" i="4"/>
  <c r="E9" i="4"/>
  <c r="F9" i="4"/>
  <c r="G9" i="4"/>
  <c r="H9" i="4"/>
  <c r="I9" i="4"/>
  <c r="J9" i="4"/>
  <c r="K9" i="4"/>
  <c r="L9" i="4"/>
  <c r="M9" i="4"/>
  <c r="C10" i="4"/>
  <c r="D10" i="4"/>
  <c r="E10" i="4"/>
  <c r="F10" i="4"/>
  <c r="G10" i="4"/>
  <c r="H10" i="4"/>
  <c r="I10" i="4"/>
  <c r="J10" i="4"/>
  <c r="K10" i="4"/>
  <c r="L10" i="4"/>
  <c r="M10" i="4"/>
  <c r="C11" i="4"/>
  <c r="D11" i="4"/>
  <c r="E11" i="4"/>
  <c r="F11" i="4"/>
  <c r="G11" i="4"/>
  <c r="H11" i="4"/>
  <c r="I11" i="4"/>
  <c r="J11" i="4"/>
  <c r="K11" i="4"/>
  <c r="L11" i="4"/>
  <c r="M11" i="4"/>
  <c r="C12" i="4"/>
  <c r="D12" i="4"/>
  <c r="E12" i="4"/>
  <c r="F12" i="4"/>
  <c r="G12" i="4"/>
  <c r="H12" i="4"/>
  <c r="I12" i="4"/>
  <c r="J12" i="4"/>
  <c r="K12" i="4"/>
  <c r="L12" i="4"/>
  <c r="M12" i="4"/>
  <c r="B12" i="4"/>
  <c r="B11" i="4"/>
  <c r="B10" i="4"/>
  <c r="B9" i="4"/>
  <c r="I21" i="4" l="1"/>
  <c r="B21" i="4"/>
  <c r="J21" i="4"/>
  <c r="D21" i="4"/>
  <c r="C21" i="4"/>
  <c r="M21" i="4"/>
  <c r="L21" i="4"/>
  <c r="K21" i="4"/>
  <c r="H21" i="4"/>
  <c r="F21" i="4"/>
  <c r="G21" i="4"/>
  <c r="E21" i="4"/>
  <c r="S48" i="5"/>
  <c r="S47" i="5" s="1"/>
  <c r="S46" i="5"/>
  <c r="S44" i="5"/>
  <c r="J50" i="5" l="1"/>
  <c r="I50" i="5"/>
  <c r="H50" i="5"/>
  <c r="S43" i="5"/>
  <c r="D50" i="5"/>
  <c r="C50" i="5"/>
  <c r="B50" i="5"/>
  <c r="L50" i="5"/>
  <c r="M50" i="5"/>
  <c r="K50" i="5"/>
  <c r="L46" i="5" l="1"/>
  <c r="L45" i="5" s="1"/>
  <c r="L51" i="5"/>
  <c r="F51" i="5"/>
  <c r="E51" i="5"/>
  <c r="G51" i="5"/>
  <c r="H46" i="5"/>
  <c r="H45" i="5" s="1"/>
  <c r="H51" i="5"/>
  <c r="M51" i="5"/>
  <c r="I46" i="5"/>
  <c r="I51" i="5"/>
  <c r="K46" i="5"/>
  <c r="K51" i="5"/>
  <c r="C46" i="5"/>
  <c r="C45" i="5" s="1"/>
  <c r="C51" i="5"/>
  <c r="D46" i="5"/>
  <c r="D45" i="5" s="1"/>
  <c r="D51" i="5"/>
  <c r="J46" i="5"/>
  <c r="J51" i="5"/>
  <c r="B46" i="5"/>
  <c r="B51" i="5"/>
  <c r="B47" i="5"/>
  <c r="B48" i="5" s="1"/>
  <c r="C47" i="5"/>
  <c r="C48" i="5" s="1"/>
  <c r="M46" i="5"/>
  <c r="M45" i="5" s="1"/>
  <c r="D47" i="5"/>
  <c r="D48" i="5" s="1"/>
  <c r="E47" i="5"/>
  <c r="E48" i="5" s="1"/>
  <c r="L47" i="5"/>
  <c r="L48" i="5" s="1"/>
  <c r="F47" i="5"/>
  <c r="F48" i="5" s="1"/>
  <c r="G47" i="5"/>
  <c r="G48" i="5" s="1"/>
  <c r="I47" i="5"/>
  <c r="I48" i="5" s="1"/>
  <c r="J47" i="5"/>
  <c r="J48" i="5" s="1"/>
  <c r="K47" i="5"/>
  <c r="K48" i="5" s="1"/>
  <c r="H47" i="5"/>
  <c r="H48" i="5" s="1"/>
  <c r="M47" i="5"/>
  <c r="M48" i="5" s="1"/>
  <c r="BF37" i="5" l="1"/>
  <c r="BF38" i="5"/>
  <c r="BB37" i="5"/>
  <c r="BB38" i="5"/>
  <c r="BA37" i="5"/>
  <c r="BA38" i="5"/>
  <c r="AZ37" i="5"/>
  <c r="AZ38" i="5"/>
  <c r="BC37" i="5"/>
  <c r="BC38" i="5"/>
  <c r="AY37" i="5"/>
  <c r="AY38" i="5"/>
  <c r="AW37" i="5"/>
  <c r="AW38" i="5"/>
  <c r="AX37" i="5"/>
  <c r="AX38" i="5"/>
  <c r="AV37" i="5"/>
  <c r="AV38" i="5"/>
  <c r="BE37" i="5"/>
  <c r="BE38" i="5"/>
  <c r="BD37" i="5"/>
  <c r="BD38" i="5"/>
  <c r="AQ37" i="5"/>
  <c r="AQ38" i="5"/>
  <c r="AL37" i="5"/>
  <c r="AL38" i="5"/>
  <c r="AO37" i="5"/>
  <c r="AO38" i="5"/>
  <c r="AK37" i="5"/>
  <c r="AK38" i="5"/>
  <c r="AM37" i="5"/>
  <c r="AM38" i="5"/>
  <c r="AH37" i="5"/>
  <c r="AH38" i="5"/>
  <c r="AI37" i="5"/>
  <c r="AI38" i="5"/>
  <c r="AJ37" i="5"/>
  <c r="AJ38" i="5"/>
  <c r="AN37" i="5"/>
  <c r="AN38" i="5"/>
  <c r="AG37" i="5"/>
  <c r="AG38" i="5"/>
  <c r="AP37" i="5"/>
  <c r="AP38" i="5"/>
  <c r="Z37" i="5"/>
  <c r="Z38" i="5"/>
  <c r="AB37" i="5"/>
  <c r="AB38" i="5"/>
  <c r="W37" i="5"/>
  <c r="W38" i="5"/>
  <c r="V37" i="5"/>
  <c r="V38" i="5"/>
  <c r="Y37" i="5"/>
  <c r="Y38" i="5"/>
  <c r="S37" i="5"/>
  <c r="S38" i="5"/>
  <c r="T37" i="5"/>
  <c r="T38" i="5"/>
  <c r="U37" i="5"/>
  <c r="U38" i="5"/>
  <c r="X37" i="5"/>
  <c r="X38" i="5"/>
  <c r="R37" i="5"/>
  <c r="R38" i="5"/>
  <c r="AA37" i="5"/>
  <c r="AA38" i="5"/>
  <c r="AF38" i="5"/>
  <c r="AU38" i="5"/>
  <c r="AF37" i="5"/>
  <c r="AU37" i="5"/>
  <c r="Q37" i="5"/>
  <c r="Q38" i="5"/>
  <c r="C37" i="5"/>
  <c r="C38" i="5"/>
  <c r="K37" i="5"/>
  <c r="K38" i="5"/>
  <c r="D37" i="5"/>
  <c r="D38" i="5"/>
  <c r="F37" i="5"/>
  <c r="F38" i="5"/>
  <c r="L37" i="5"/>
  <c r="L38" i="5"/>
  <c r="I37" i="5"/>
  <c r="I38" i="5"/>
  <c r="H37" i="5"/>
  <c r="H38" i="5"/>
  <c r="J37" i="5"/>
  <c r="J38" i="5"/>
  <c r="E37" i="5"/>
  <c r="E38" i="5"/>
  <c r="M37" i="5"/>
  <c r="M38" i="5"/>
  <c r="G37" i="5"/>
  <c r="G38" i="5"/>
  <c r="B37" i="5"/>
  <c r="B38" i="5"/>
  <c r="E54" i="5"/>
  <c r="J54" i="5"/>
  <c r="L54" i="5"/>
  <c r="C54" i="5"/>
  <c r="K54" i="5"/>
  <c r="D54" i="5"/>
  <c r="K45" i="5"/>
  <c r="J45" i="5"/>
  <c r="H54" i="5"/>
  <c r="I45" i="5"/>
  <c r="I54" i="5"/>
  <c r="B54" i="5"/>
  <c r="B45" i="5"/>
  <c r="M54" i="5"/>
  <c r="I55" i="5"/>
  <c r="L55" i="5"/>
  <c r="M55" i="5"/>
  <c r="G55" i="5"/>
  <c r="F55" i="5"/>
  <c r="J55" i="5"/>
  <c r="E55" i="5"/>
  <c r="D55" i="5"/>
  <c r="K55" i="5"/>
  <c r="H55" i="5"/>
  <c r="B55" i="5"/>
  <c r="C55" i="5"/>
  <c r="AC37" i="5" l="1"/>
  <c r="AC38" i="5"/>
  <c r="BG37" i="5"/>
  <c r="BG38" i="5"/>
  <c r="AR38" i="5"/>
  <c r="AR37" i="5"/>
  <c r="N38" i="5"/>
  <c r="N37" i="5"/>
</calcChain>
</file>

<file path=xl/sharedStrings.xml><?xml version="1.0" encoding="utf-8"?>
<sst xmlns="http://schemas.openxmlformats.org/spreadsheetml/2006/main" count="728" uniqueCount="157">
  <si>
    <t>Customer Impact</t>
  </si>
  <si>
    <t>Low</t>
  </si>
  <si>
    <t>None</t>
  </si>
  <si>
    <t>Medium</t>
  </si>
  <si>
    <t>High</t>
  </si>
  <si>
    <t>Catastrophic</t>
  </si>
  <si>
    <t>Critical</t>
  </si>
  <si>
    <t>Low/Medium</t>
  </si>
  <si>
    <t>Medium/High</t>
  </si>
  <si>
    <t>Very High</t>
  </si>
  <si>
    <t>Very Low</t>
  </si>
  <si>
    <t>Not affected</t>
  </si>
  <si>
    <t>Not aware</t>
  </si>
  <si>
    <t>Not concerned</t>
  </si>
  <si>
    <t>Some complaints</t>
  </si>
  <si>
    <t>Over 1000 (10%) complaints</t>
  </si>
  <si>
    <t>Upto 1000 (10%) complaints</t>
  </si>
  <si>
    <t>Upto 1000 (10%) cancel/leave</t>
  </si>
  <si>
    <t>Over 1000 (10%) cancel/leave</t>
  </si>
  <si>
    <t>Reputational Impact</t>
  </si>
  <si>
    <t>Financial Impact</t>
  </si>
  <si>
    <t>hours</t>
  </si>
  <si>
    <t>days</t>
  </si>
  <si>
    <t>weeks</t>
  </si>
  <si>
    <t>months</t>
  </si>
  <si>
    <t>VH</t>
  </si>
  <si>
    <t>H</t>
  </si>
  <si>
    <t>M</t>
  </si>
  <si>
    <t>L</t>
  </si>
  <si>
    <t>Adverse reporting in national press</t>
  </si>
  <si>
    <t xml:space="preserve">PR mobilisation required </t>
  </si>
  <si>
    <t>Significant long-term brand harm</t>
  </si>
  <si>
    <t>Protest trending on social media</t>
  </si>
  <si>
    <t>Permanent brand impact</t>
  </si>
  <si>
    <t>Elevated levels of complaint</t>
  </si>
  <si>
    <t>Instances of localised protest</t>
  </si>
  <si>
    <t>No Impact</t>
  </si>
  <si>
    <t>C-Level PR response required</t>
  </si>
  <si>
    <t>Service Name</t>
  </si>
  <si>
    <t>Reference</t>
  </si>
  <si>
    <t>Completed by</t>
  </si>
  <si>
    <t>Comments (any observations, views, or considerations made in the assessment above)</t>
  </si>
  <si>
    <t>1. What is the customer impact of a disruption to service</t>
  </si>
  <si>
    <t>2. What is the financial impact of a disruption to service</t>
  </si>
  <si>
    <t>3. What is the Impact on company reputation from a disruption to service</t>
  </si>
  <si>
    <t>5. Anything else to consider?</t>
  </si>
  <si>
    <t>Accuracy Statement</t>
  </si>
  <si>
    <t>I confirm that all responses are a current overall impact of an outage, taking into account all business dependencies on the service and any known workarounds in place at the time.</t>
  </si>
  <si>
    <t>Completed when</t>
  </si>
  <si>
    <t>Risk Appetites &amp; Ratings</t>
  </si>
  <si>
    <t>DR Impact Assessment Questionnaire</t>
  </si>
  <si>
    <t>Customer</t>
  </si>
  <si>
    <t>Financial</t>
  </si>
  <si>
    <t>Reputation</t>
  </si>
  <si>
    <t>4. What is the impact on company objectives/regulations from a disruption to service</t>
  </si>
  <si>
    <t>Compliance</t>
  </si>
  <si>
    <t>Compliance Impact</t>
  </si>
  <si>
    <t>Impact heat-map</t>
  </si>
  <si>
    <t>Risk appetite heat-map</t>
  </si>
  <si>
    <t>Key Facts</t>
  </si>
  <si>
    <t>Last review date</t>
  </si>
  <si>
    <t>Maximum Tolerable Outage (MTO)</t>
  </si>
  <si>
    <t>Microsoft Dynamics</t>
  </si>
  <si>
    <t>Business criticality of service</t>
  </si>
  <si>
    <t>Eric Kendrick</t>
  </si>
  <si>
    <t>OVERALL</t>
  </si>
  <si>
    <t>hr</t>
  </si>
  <si>
    <t>hrs</t>
  </si>
  <si>
    <t>day</t>
  </si>
  <si>
    <t>wk</t>
  </si>
  <si>
    <t>wks</t>
  </si>
  <si>
    <t>mth</t>
  </si>
  <si>
    <t>mths</t>
  </si>
  <si>
    <t>m</t>
  </si>
  <si>
    <t>minutes</t>
  </si>
  <si>
    <t>units</t>
  </si>
  <si>
    <t>amt</t>
  </si>
  <si>
    <t>Time Period</t>
  </si>
  <si>
    <t>#</t>
  </si>
  <si>
    <t>label</t>
  </si>
  <si>
    <t>single</t>
  </si>
  <si>
    <t>plural</t>
  </si>
  <si>
    <t>Units</t>
  </si>
  <si>
    <t>Customer Impact - Risk Appetite &amp; Ratings</t>
  </si>
  <si>
    <t>Risk Rating</t>
  </si>
  <si>
    <t>Financial Impact - Risk Appetite &amp; Ratings</t>
  </si>
  <si>
    <t>Reputational Impact - Risk Appetite &amp; Ratings</t>
  </si>
  <si>
    <t>Compliance Impact - Risk Appetite &amp; Ratings</t>
  </si>
  <si>
    <t>Appetite Ratings</t>
  </si>
  <si>
    <t>No concern</t>
  </si>
  <si>
    <t>Intolerable risk</t>
  </si>
  <si>
    <t>Within appetites</t>
  </si>
  <si>
    <t>Exceeds appetites</t>
  </si>
  <si>
    <t>years</t>
  </si>
  <si>
    <t>yr</t>
  </si>
  <si>
    <t>yrs</t>
  </si>
  <si>
    <t>123 (MS-Dyn)</t>
  </si>
  <si>
    <t>Failure of Company Likely</t>
  </si>
  <si>
    <t>Long-term Harm / regulatory fines</t>
  </si>
  <si>
    <t>Missed Objectives / breach events</t>
  </si>
  <si>
    <t>Goals affected / near-miss events</t>
  </si>
  <si>
    <t>Adverse report in local/industry press</t>
  </si>
  <si>
    <t>CUSTOMER IMPACT</t>
  </si>
  <si>
    <t>FINANCIAL IMPACT</t>
  </si>
  <si>
    <t>COMPLIANCE IMPACT</t>
  </si>
  <si>
    <t>REPUTATIONAL IMPACT</t>
  </si>
  <si>
    <t>Risk Ratings</t>
  </si>
  <si>
    <t>Risk Appetites</t>
  </si>
  <si>
    <t>COMBINED IMPACT</t>
  </si>
  <si>
    <t>Generic Severity Ratings</t>
  </si>
  <si>
    <t>Questionnaire Impact</t>
  </si>
  <si>
    <t>App</t>
  </si>
  <si>
    <t>A</t>
  </si>
  <si>
    <t>B</t>
  </si>
  <si>
    <t>C</t>
  </si>
  <si>
    <t>Impact Scoring (Generic lookup tables)</t>
  </si>
  <si>
    <t>unit</t>
  </si>
  <si>
    <t>TIMELINE SETTINGS</t>
  </si>
  <si>
    <t>lbl</t>
  </si>
  <si>
    <t>base</t>
  </si>
  <si>
    <t>dys</t>
  </si>
  <si>
    <t>%</t>
  </si>
  <si>
    <r>
      <rPr>
        <b/>
        <sz val="9"/>
        <color theme="0"/>
        <rFont val="Calibri"/>
        <family val="2"/>
      </rPr>
      <t>1/3</t>
    </r>
    <r>
      <rPr>
        <b/>
        <sz val="9"/>
        <color theme="0"/>
        <rFont val="Calibri"/>
        <family val="2"/>
        <scheme val="minor"/>
      </rPr>
      <t>%</t>
    </r>
  </si>
  <si>
    <t>v1/3%</t>
  </si>
  <si>
    <t>vunit</t>
  </si>
  <si>
    <t>Appropriate Borders</t>
  </si>
  <si>
    <t>unit2</t>
  </si>
  <si>
    <t>threshold</t>
  </si>
  <si>
    <t>#2</t>
  </si>
  <si>
    <t>vunit2</t>
  </si>
  <si>
    <t>Units &amp; Labels</t>
  </si>
  <si>
    <t>Absolute Durations</t>
  </si>
  <si>
    <t>dys2</t>
  </si>
  <si>
    <t>APPETITE SETTINGS</t>
  </si>
  <si>
    <t>ANALYSIS CALCULATIONS</t>
  </si>
  <si>
    <t>MTO</t>
  </si>
  <si>
    <t>OK</t>
  </si>
  <si>
    <t>Criticality</t>
  </si>
  <si>
    <t>First-L</t>
  </si>
  <si>
    <t>First-M</t>
  </si>
  <si>
    <t>First-H</t>
  </si>
  <si>
    <t>First-VH</t>
  </si>
  <si>
    <t>min</t>
  </si>
  <si>
    <t>Majority cancel/leave</t>
  </si>
  <si>
    <t>Mass Exodus - cancel all</t>
  </si>
  <si>
    <t>Short-term Harm / regulator censure</t>
  </si>
  <si>
    <t>Permanent impact</t>
  </si>
  <si>
    <t>Over £1m loss</t>
  </si>
  <si>
    <t>No financial loss</t>
  </si>
  <si>
    <t>upto £25,000 loss</t>
  </si>
  <si>
    <t>upto £5,000 loss</t>
  </si>
  <si>
    <t>upto £1,000 loss</t>
  </si>
  <si>
    <t>upto £50,000 loss</t>
  </si>
  <si>
    <t>upto £100,000 loss</t>
  </si>
  <si>
    <t>upto £200,000 loss</t>
  </si>
  <si>
    <t>upto £500,000 loss</t>
  </si>
  <si>
    <t>upto £1,000,000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</si>
</sst>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yy"/>
    <numFmt numFmtId="165" formatCode="[$-F800]dddd\,\ mmmm\ dd\,\ yyyy"/>
    <numFmt numFmtId="166" formatCode="0.00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6"/>
      <name val="Calibri"/>
      <family val="2"/>
      <scheme val="minor"/>
    </font>
    <font>
      <sz val="9"/>
      <color theme="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rgb="FFFFFF99"/>
      <name val="Calibri"/>
      <family val="2"/>
      <scheme val="minor"/>
    </font>
    <font>
      <b/>
      <sz val="9"/>
      <color rgb="FFAF2E1D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2E1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CF2F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6" fillId="0" borderId="0" xfId="0" applyFont="1" applyFill="1"/>
    <xf numFmtId="0" fontId="8" fillId="0" borderId="0" xfId="0" applyFont="1" applyFill="1"/>
    <xf numFmtId="0" fontId="7" fillId="2" borderId="12" xfId="0" applyFont="1" applyFill="1" applyBorder="1" applyAlignment="1"/>
    <xf numFmtId="0" fontId="7" fillId="2" borderId="11" xfId="0" applyFont="1" applyFill="1" applyBorder="1" applyAlignment="1"/>
    <xf numFmtId="0" fontId="7" fillId="2" borderId="13" xfId="0" applyFont="1" applyFill="1" applyBorder="1" applyAlignment="1"/>
    <xf numFmtId="0" fontId="0" fillId="0" borderId="0" xfId="0" applyFont="1" applyFill="1" applyBorder="1"/>
    <xf numFmtId="0" fontId="12" fillId="0" borderId="0" xfId="0" applyFont="1" applyFill="1"/>
    <xf numFmtId="0" fontId="1" fillId="0" borderId="0" xfId="0" applyFont="1" applyAlignment="1"/>
    <xf numFmtId="0" fontId="1" fillId="0" borderId="18" xfId="0" applyFont="1" applyBorder="1" applyAlignment="1"/>
    <xf numFmtId="0" fontId="1" fillId="0" borderId="18" xfId="0" applyFont="1" applyFill="1" applyBorder="1" applyAlignment="1">
      <alignment horizontal="center" vertical="center"/>
    </xf>
    <xf numFmtId="0" fontId="2" fillId="0" borderId="18" xfId="0" applyFont="1" applyFill="1" applyBorder="1"/>
    <xf numFmtId="166" fontId="2" fillId="0" borderId="18" xfId="0" applyNumberFormat="1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0" fillId="6" borderId="9" xfId="0" applyFill="1" applyBorder="1"/>
    <xf numFmtId="0" fontId="13" fillId="6" borderId="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7" fillId="9" borderId="18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 shrinkToFit="1"/>
    </xf>
    <xf numFmtId="0" fontId="16" fillId="9" borderId="20" xfId="0" applyFont="1" applyFill="1" applyBorder="1" applyAlignment="1">
      <alignment horizontal="center" vertical="center" shrinkToFit="1"/>
    </xf>
    <xf numFmtId="0" fontId="16" fillId="9" borderId="21" xfId="0" applyFont="1" applyFill="1" applyBorder="1" applyAlignment="1">
      <alignment horizontal="center" vertical="center" shrinkToFit="1"/>
    </xf>
    <xf numFmtId="0" fontId="7" fillId="9" borderId="6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/>
      <protection locked="0"/>
    </xf>
    <xf numFmtId="0" fontId="7" fillId="9" borderId="18" xfId="0" applyNumberFormat="1" applyFont="1" applyFill="1" applyBorder="1" applyAlignment="1">
      <alignment horizontal="center"/>
    </xf>
    <xf numFmtId="0" fontId="11" fillId="9" borderId="0" xfId="0" applyFont="1" applyFill="1" applyBorder="1" applyAlignment="1">
      <alignment vertical="center"/>
    </xf>
    <xf numFmtId="0" fontId="14" fillId="9" borderId="0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4" fillId="4" borderId="0" xfId="0" applyFont="1" applyFill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0" fillId="10" borderId="14" xfId="0" applyFill="1" applyBorder="1"/>
    <xf numFmtId="0" fontId="0" fillId="10" borderId="10" xfId="0" applyFill="1" applyBorder="1"/>
    <xf numFmtId="0" fontId="6" fillId="10" borderId="0" xfId="0" applyFont="1" applyFill="1" applyBorder="1"/>
    <xf numFmtId="0" fontId="12" fillId="10" borderId="0" xfId="0" applyFont="1" applyFill="1" applyBorder="1"/>
    <xf numFmtId="0" fontId="0" fillId="10" borderId="0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1" fillId="3" borderId="21" xfId="0" applyFont="1" applyFill="1" applyBorder="1" applyAlignment="1"/>
    <xf numFmtId="2" fontId="2" fillId="0" borderId="18" xfId="0" applyNumberFormat="1" applyFont="1" applyFill="1" applyBorder="1" applyAlignment="1">
      <alignment horizontal="left" vertical="center" shrinkToFit="1"/>
    </xf>
    <xf numFmtId="0" fontId="1" fillId="3" borderId="18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vertical="center"/>
    </xf>
    <xf numFmtId="0" fontId="1" fillId="0" borderId="22" xfId="0" applyFont="1" applyBorder="1" applyAlignment="1"/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20" xfId="0" applyFont="1" applyFill="1" applyBorder="1" applyAlignment="1"/>
    <xf numFmtId="0" fontId="1" fillId="3" borderId="7" xfId="0" applyFont="1" applyFill="1" applyBorder="1" applyAlignment="1"/>
    <xf numFmtId="0" fontId="1" fillId="3" borderId="8" xfId="0" applyFont="1" applyFill="1" applyBorder="1" applyAlignment="1"/>
    <xf numFmtId="0" fontId="1" fillId="9" borderId="18" xfId="0" applyFont="1" applyFill="1" applyBorder="1" applyAlignment="1"/>
    <xf numFmtId="0" fontId="1" fillId="13" borderId="18" xfId="0" applyFont="1" applyFill="1" applyBorder="1" applyAlignment="1"/>
    <xf numFmtId="0" fontId="1" fillId="11" borderId="18" xfId="0" applyFont="1" applyFill="1" applyBorder="1" applyAlignment="1"/>
    <xf numFmtId="0" fontId="13" fillId="2" borderId="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13" fillId="14" borderId="19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1" fillId="16" borderId="18" xfId="0" applyFont="1" applyFill="1" applyBorder="1" applyAlignment="1"/>
    <xf numFmtId="0" fontId="1" fillId="17" borderId="18" xfId="0" applyFont="1" applyFill="1" applyBorder="1" applyAlignment="1"/>
    <xf numFmtId="0" fontId="13" fillId="9" borderId="6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" fillId="12" borderId="18" xfId="0" applyFont="1" applyFill="1" applyBorder="1" applyAlignment="1"/>
    <xf numFmtId="0" fontId="2" fillId="18" borderId="18" xfId="0" applyFont="1" applyFill="1" applyBorder="1" applyAlignment="1"/>
    <xf numFmtId="0" fontId="1" fillId="18" borderId="18" xfId="0" applyFont="1" applyFill="1" applyBorder="1" applyAlignment="1"/>
    <xf numFmtId="0" fontId="13" fillId="15" borderId="6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" fillId="15" borderId="18" xfId="0" applyFont="1" applyFill="1" applyBorder="1" applyAlignment="1"/>
    <xf numFmtId="0" fontId="1" fillId="19" borderId="18" xfId="0" applyFont="1" applyFill="1" applyBorder="1" applyAlignment="1"/>
    <xf numFmtId="0" fontId="1" fillId="14" borderId="18" xfId="0" applyFont="1" applyFill="1" applyBorder="1" applyAlignment="1"/>
    <xf numFmtId="0" fontId="21" fillId="0" borderId="7" xfId="0" applyFont="1" applyFill="1" applyBorder="1" applyAlignment="1"/>
    <xf numFmtId="0" fontId="22" fillId="0" borderId="7" xfId="0" applyFont="1" applyFill="1" applyBorder="1" applyAlignment="1"/>
    <xf numFmtId="0" fontId="22" fillId="0" borderId="0" xfId="0" applyFont="1" applyFill="1" applyAlignment="1"/>
    <xf numFmtId="0" fontId="2" fillId="3" borderId="19" xfId="0" applyFont="1" applyFill="1" applyBorder="1" applyAlignment="1"/>
    <xf numFmtId="0" fontId="6" fillId="3" borderId="20" xfId="0" applyFont="1" applyFill="1" applyBorder="1" applyAlignment="1"/>
    <xf numFmtId="0" fontId="23" fillId="2" borderId="0" xfId="0" applyFont="1" applyFill="1" applyAlignment="1"/>
    <xf numFmtId="0" fontId="24" fillId="2" borderId="0" xfId="0" applyFont="1" applyFill="1" applyAlignment="1"/>
    <xf numFmtId="0" fontId="25" fillId="2" borderId="0" xfId="0" applyFont="1" applyFill="1" applyAlignment="1"/>
    <xf numFmtId="0" fontId="25" fillId="0" borderId="0" xfId="0" applyFont="1" applyAlignment="1"/>
    <xf numFmtId="0" fontId="23" fillId="14" borderId="0" xfId="0" applyFont="1" applyFill="1" applyAlignment="1"/>
    <xf numFmtId="0" fontId="24" fillId="14" borderId="0" xfId="0" applyFont="1" applyFill="1" applyAlignment="1"/>
    <xf numFmtId="0" fontId="25" fillId="14" borderId="0" xfId="0" applyFont="1" applyFill="1" applyAlignment="1"/>
    <xf numFmtId="0" fontId="23" fillId="16" borderId="0" xfId="0" applyFont="1" applyFill="1" applyAlignment="1"/>
    <xf numFmtId="0" fontId="24" fillId="16" borderId="0" xfId="0" applyFont="1" applyFill="1" applyAlignment="1"/>
    <xf numFmtId="0" fontId="25" fillId="16" borderId="0" xfId="0" applyFont="1" applyFill="1" applyAlignment="1"/>
    <xf numFmtId="0" fontId="23" fillId="15" borderId="0" xfId="0" applyFont="1" applyFill="1" applyAlignment="1"/>
    <xf numFmtId="0" fontId="24" fillId="15" borderId="0" xfId="0" applyFont="1" applyFill="1" applyAlignment="1"/>
    <xf numFmtId="0" fontId="25" fillId="15" borderId="0" xfId="0" applyFont="1" applyFill="1" applyAlignment="1"/>
    <xf numFmtId="0" fontId="23" fillId="9" borderId="0" xfId="0" applyFont="1" applyFill="1" applyAlignment="1"/>
    <xf numFmtId="0" fontId="24" fillId="9" borderId="0" xfId="0" applyFont="1" applyFill="1" applyAlignment="1"/>
    <xf numFmtId="0" fontId="25" fillId="9" borderId="0" xfId="0" applyFont="1" applyFill="1" applyAlignment="1"/>
    <xf numFmtId="0" fontId="1" fillId="3" borderId="18" xfId="0" applyFont="1" applyFill="1" applyBorder="1" applyAlignment="1">
      <alignment horizontal="center" vertical="center" shrinkToFit="1"/>
    </xf>
    <xf numFmtId="0" fontId="23" fillId="20" borderId="0" xfId="0" applyFont="1" applyFill="1" applyAlignment="1"/>
    <xf numFmtId="0" fontId="24" fillId="20" borderId="0" xfId="0" applyFont="1" applyFill="1" applyAlignment="1"/>
    <xf numFmtId="0" fontId="25" fillId="20" borderId="0" xfId="0" applyFont="1" applyFill="1" applyAlignment="1"/>
    <xf numFmtId="0" fontId="2" fillId="3" borderId="18" xfId="0" applyFont="1" applyFill="1" applyBorder="1" applyAlignment="1">
      <alignment horizontal="center" vertical="center" shrinkToFit="1"/>
    </xf>
    <xf numFmtId="0" fontId="13" fillId="20" borderId="22" xfId="0" applyFont="1" applyFill="1" applyBorder="1" applyAlignment="1">
      <alignment vertical="center"/>
    </xf>
    <xf numFmtId="0" fontId="13" fillId="20" borderId="18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 shrinkToFit="1"/>
    </xf>
    <xf numFmtId="0" fontId="26" fillId="20" borderId="6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2" fontId="1" fillId="3" borderId="18" xfId="0" applyNumberFormat="1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shrinkToFit="1"/>
    </xf>
    <xf numFmtId="167" fontId="1" fillId="0" borderId="18" xfId="0" applyNumberFormat="1" applyFont="1" applyBorder="1" applyAlignment="1">
      <alignment shrinkToFit="1"/>
    </xf>
    <xf numFmtId="0" fontId="23" fillId="21" borderId="0" xfId="0" applyFont="1" applyFill="1" applyAlignment="1"/>
    <xf numFmtId="0" fontId="24" fillId="21" borderId="0" xfId="0" applyFont="1" applyFill="1" applyAlignment="1"/>
    <xf numFmtId="0" fontId="25" fillId="21" borderId="0" xfId="0" applyFont="1" applyFill="1" applyAlignment="1"/>
    <xf numFmtId="0" fontId="1" fillId="22" borderId="0" xfId="0" applyFont="1" applyFill="1" applyAlignment="1"/>
    <xf numFmtId="0" fontId="23" fillId="23" borderId="0" xfId="0" applyFont="1" applyFill="1" applyAlignment="1"/>
    <xf numFmtId="0" fontId="24" fillId="23" borderId="0" xfId="0" applyFont="1" applyFill="1" applyAlignment="1"/>
    <xf numFmtId="167" fontId="1" fillId="13" borderId="18" xfId="0" applyNumberFormat="1" applyFont="1" applyFill="1" applyBorder="1" applyAlignment="1">
      <alignment shrinkToFit="1"/>
    </xf>
    <xf numFmtId="0" fontId="1" fillId="19" borderId="18" xfId="0" applyFont="1" applyFill="1" applyBorder="1" applyAlignment="1">
      <alignment shrinkToFit="1"/>
    </xf>
    <xf numFmtId="0" fontId="1" fillId="17" borderId="18" xfId="0" applyFont="1" applyFill="1" applyBorder="1" applyAlignment="1">
      <alignment shrinkToFit="1"/>
    </xf>
    <xf numFmtId="0" fontId="2" fillId="18" borderId="18" xfId="0" applyFont="1" applyFill="1" applyBorder="1" applyAlignment="1">
      <alignment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27" fillId="22" borderId="0" xfId="0" applyFont="1" applyFill="1" applyAlignment="1">
      <alignment horizontal="right" vertical="center"/>
    </xf>
    <xf numFmtId="0" fontId="1" fillId="13" borderId="18" xfId="0" applyFont="1" applyFill="1" applyBorder="1" applyAlignment="1">
      <alignment vertical="center" shrinkToFit="1"/>
    </xf>
    <xf numFmtId="0" fontId="1" fillId="19" borderId="18" xfId="0" applyFont="1" applyFill="1" applyBorder="1" applyAlignment="1">
      <alignment vertical="center" shrinkToFit="1"/>
    </xf>
    <xf numFmtId="0" fontId="1" fillId="17" borderId="18" xfId="0" applyFont="1" applyFill="1" applyBorder="1" applyAlignment="1">
      <alignment vertical="center" shrinkToFit="1"/>
    </xf>
    <xf numFmtId="0" fontId="2" fillId="18" borderId="18" xfId="0" applyFont="1" applyFill="1" applyBorder="1" applyAlignment="1">
      <alignment vertical="center" shrinkToFit="1"/>
    </xf>
    <xf numFmtId="0" fontId="16" fillId="9" borderId="1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 vertical="center" shrinkToFit="1"/>
    </xf>
    <xf numFmtId="0" fontId="12" fillId="10" borderId="0" xfId="0" applyFont="1" applyFill="1" applyBorder="1" applyAlignment="1">
      <alignment horizontal="left" vertical="center" wrapText="1"/>
    </xf>
    <xf numFmtId="164" fontId="0" fillId="3" borderId="9" xfId="0" applyNumberForma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9" fillId="3" borderId="9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/>
    </xf>
    <xf numFmtId="0" fontId="12" fillId="3" borderId="0" xfId="0" applyFont="1" applyFill="1" applyBorder="1" applyAlignment="1">
      <alignment horizontal="center" wrapText="1"/>
    </xf>
    <xf numFmtId="165" fontId="11" fillId="2" borderId="12" xfId="0" applyNumberFormat="1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/>
      <protection locked="0"/>
    </xf>
    <xf numFmtId="0" fontId="16" fillId="9" borderId="1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13" fillId="20" borderId="2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22" borderId="19" xfId="0" applyFont="1" applyFill="1" applyBorder="1" applyAlignment="1">
      <alignment horizontal="center" vertical="center" shrinkToFit="1"/>
    </xf>
    <xf numFmtId="0" fontId="1" fillId="22" borderId="21" xfId="0" applyFont="1" applyFill="1" applyBorder="1" applyAlignment="1">
      <alignment horizontal="center" vertical="center" shrinkToFit="1"/>
    </xf>
    <xf numFmtId="0" fontId="1" fillId="24" borderId="19" xfId="0" applyFont="1" applyFill="1" applyBorder="1" applyAlignment="1">
      <alignment horizontal="center" vertical="center" shrinkToFit="1"/>
    </xf>
    <xf numFmtId="0" fontId="1" fillId="24" borderId="21" xfId="0" applyFont="1" applyFill="1" applyBorder="1" applyAlignment="1">
      <alignment horizontal="center" vertical="center" shrinkToFit="1"/>
    </xf>
    <xf numFmtId="0" fontId="1" fillId="22" borderId="7" xfId="0" applyFont="1" applyFill="1" applyBorder="1" applyAlignment="1">
      <alignment horizontal="center"/>
    </xf>
  </cellXfs>
  <cellStyles count="1">
    <cellStyle name="Normal" xfId="0" builtinId="0"/>
  </cellStyles>
  <dxfs count="38">
    <dxf>
      <font>
        <b/>
        <i val="0"/>
        <color rgb="FF0070C0"/>
      </font>
    </dxf>
    <dxf>
      <font>
        <color rgb="FF538022"/>
      </font>
      <fill>
        <patternFill>
          <bgColor rgb="FF92D050"/>
        </patternFill>
      </fill>
    </dxf>
    <dxf>
      <font>
        <color theme="7"/>
      </font>
      <fill>
        <patternFill>
          <bgColor rgb="FFFFFF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538022"/>
      </font>
      <fill>
        <patternFill>
          <bgColor rgb="FF92D050"/>
        </patternFill>
      </fill>
    </dxf>
    <dxf>
      <font>
        <color theme="7"/>
      </font>
      <fill>
        <patternFill>
          <bgColor rgb="FFFFFF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538022"/>
      </font>
      <fill>
        <patternFill>
          <bgColor rgb="FF92D050"/>
        </patternFill>
      </fill>
    </dxf>
    <dxf>
      <font>
        <color theme="7"/>
      </font>
      <fill>
        <patternFill>
          <bgColor rgb="FFFFFF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538022"/>
      </font>
      <fill>
        <patternFill>
          <bgColor rgb="FF92D050"/>
        </patternFill>
      </fill>
    </dxf>
    <dxf>
      <font>
        <color theme="7"/>
      </font>
      <fill>
        <patternFill>
          <bgColor rgb="FFFFFF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CF2F6"/>
        </patternFill>
      </fill>
    </dxf>
    <dxf>
      <fill>
        <patternFill>
          <bgColor rgb="FFF1B9D0"/>
        </patternFill>
      </fill>
    </dxf>
    <dxf>
      <font>
        <color theme="0"/>
      </font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CF2F6"/>
        </patternFill>
      </fill>
    </dxf>
    <dxf>
      <fill>
        <patternFill>
          <bgColor rgb="FFF1B9D0"/>
        </patternFill>
      </fill>
    </dxf>
    <dxf>
      <font>
        <color theme="0"/>
      </font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CF2F6"/>
        </patternFill>
      </fill>
    </dxf>
    <dxf>
      <fill>
        <patternFill>
          <bgColor rgb="FFF1B9D0"/>
        </patternFill>
      </fill>
    </dxf>
    <dxf>
      <font>
        <color theme="0"/>
      </font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CF2F6"/>
        </patternFill>
      </fill>
    </dxf>
    <dxf>
      <fill>
        <patternFill>
          <bgColor rgb="FFF1B9D0"/>
        </patternFill>
      </fill>
    </dxf>
    <dxf>
      <font>
        <color theme="0"/>
      </font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CF2F6"/>
        </patternFill>
      </fill>
    </dxf>
    <dxf>
      <fill>
        <patternFill>
          <bgColor rgb="FFF1B9D0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  <color rgb="FF00FFFF"/>
      <color rgb="FF99FF33"/>
      <color rgb="FFAF2E1D"/>
      <color rgb="FFFCF2F6"/>
      <color rgb="FFF1B9D0"/>
      <color rgb="FFFBF3E5"/>
      <color rgb="FFE5ECEF"/>
      <color rgb="FFFCEEF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2018 www.erickendrick.com">
      <a:dk1>
        <a:sysClr val="windowText" lastClr="000000"/>
      </a:dk1>
      <a:lt1>
        <a:sysClr val="window" lastClr="FFFFFF"/>
      </a:lt1>
      <a:dk2>
        <a:srgbClr val="273345"/>
      </a:dk2>
      <a:lt2>
        <a:srgbClr val="D0DDE2"/>
      </a:lt2>
      <a:accent1>
        <a:srgbClr val="3F6291"/>
      </a:accent1>
      <a:accent2>
        <a:srgbClr val="DD5F32"/>
      </a:accent2>
      <a:accent3>
        <a:srgbClr val="AA2159"/>
      </a:accent3>
      <a:accent4>
        <a:srgbClr val="E19D29"/>
      </a:accent4>
      <a:accent5>
        <a:srgbClr val="4298B5"/>
      </a:accent5>
      <a:accent6>
        <a:srgbClr val="93B565"/>
      </a:accent6>
      <a:hlink>
        <a:srgbClr val="3F6291"/>
      </a:hlink>
      <a:folHlink>
        <a:srgbClr val="AA215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xtreme Shadow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3C3A-1C3E-410D-B6D9-560DF4B4558E}">
  <sheetPr>
    <tabColor theme="6"/>
    <pageSetUpPr fitToPage="1"/>
  </sheetPr>
  <dimension ref="A1:S67"/>
  <sheetViews>
    <sheetView tabSelected="1" zoomScaleNormal="100" workbookViewId="0">
      <selection activeCell="T23" sqref="T23"/>
    </sheetView>
  </sheetViews>
  <sheetFormatPr defaultColWidth="8.7265625" defaultRowHeight="14.5" x14ac:dyDescent="0.35"/>
  <cols>
    <col min="1" max="1" width="2.54296875" style="1" customWidth="1"/>
    <col min="2" max="2" width="7.54296875" style="1" customWidth="1"/>
    <col min="3" max="14" width="6" style="1" customWidth="1"/>
    <col min="15" max="15" width="2.1796875" style="1" customWidth="1"/>
    <col min="16" max="16" width="2.54296875" style="1" customWidth="1"/>
    <col min="17" max="17" width="22.453125" style="1" customWidth="1"/>
    <col min="18" max="18" width="2.54296875" style="1" customWidth="1"/>
    <col min="19" max="19" width="5.26953125" style="1" customWidth="1"/>
    <col min="20" max="16384" width="8.7265625" style="1"/>
  </cols>
  <sheetData>
    <row r="1" spans="1:19" s="18" customFormat="1" ht="18.5" x14ac:dyDescent="0.45">
      <c r="A1" s="1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s="5" customFormat="1" ht="30" customHeight="1" x14ac:dyDescent="0.45">
      <c r="A2" s="2" t="s">
        <v>38</v>
      </c>
      <c r="B2" s="2"/>
      <c r="L2" s="2"/>
      <c r="P2" s="4" t="s">
        <v>39</v>
      </c>
    </row>
    <row r="3" spans="1:19" x14ac:dyDescent="0.35">
      <c r="A3" s="157" t="s">
        <v>62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3"/>
      <c r="P3" s="164" t="s">
        <v>96</v>
      </c>
      <c r="Q3" s="164"/>
      <c r="R3" s="164"/>
    </row>
    <row r="5" spans="1:19" ht="30" customHeight="1" x14ac:dyDescent="0.35">
      <c r="A5" s="2" t="s">
        <v>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1.5" customHeight="1" x14ac:dyDescent="0.35">
      <c r="C6" s="19" t="str">
        <f ca="1">INDEX(TimePeriods,0,1)</f>
        <v>1 hr</v>
      </c>
      <c r="D6" s="19" t="str">
        <f ca="1">INDEX(TimePeriods,0,2)</f>
        <v>4 hrs</v>
      </c>
      <c r="E6" s="19" t="str">
        <f ca="1">INDEX(TimePeriods,0,3)</f>
        <v>8 hrs</v>
      </c>
      <c r="F6" s="19" t="str">
        <f ca="1">INDEX(TimePeriods,0,4)</f>
        <v>1 day</v>
      </c>
      <c r="G6" s="19" t="str">
        <f ca="1">INDEX(TimePeriods,0,5)</f>
        <v>2 days</v>
      </c>
      <c r="H6" s="19" t="str">
        <f ca="1">INDEX(TimePeriods,0,6)</f>
        <v>3 days</v>
      </c>
      <c r="I6" s="19" t="str">
        <f ca="1">INDEX(TimePeriods,0,7)</f>
        <v>1 wk</v>
      </c>
      <c r="J6" s="19" t="str">
        <f ca="1">INDEX(TimePeriods,0,8)</f>
        <v>2 wks</v>
      </c>
      <c r="K6" s="19" t="str">
        <f ca="1">INDEX(TimePeriods,0,9)</f>
        <v>3 wks</v>
      </c>
      <c r="L6" s="19" t="str">
        <f ca="1">INDEX(TimePeriods,0,10)</f>
        <v>1 mth</v>
      </c>
      <c r="M6" s="19" t="str">
        <f ca="1">INDEX(TimePeriods,0,11)</f>
        <v>2 mths</v>
      </c>
      <c r="N6" s="19" t="str">
        <f ca="1">INDEX(TimePeriods,0,12)</f>
        <v>3 mths</v>
      </c>
      <c r="P6" s="22">
        <v>1</v>
      </c>
      <c r="Q6" s="154" t="str">
        <f t="shared" ref="Q6:Q15" si="0">VLOOKUP(P6,CustomerRatings,2,FALSE)</f>
        <v>Not affected</v>
      </c>
      <c r="R6" s="154"/>
    </row>
    <row r="7" spans="1:19" ht="11.5" customHeight="1" x14ac:dyDescent="0.35">
      <c r="A7" s="161" t="s">
        <v>0</v>
      </c>
      <c r="B7" s="161"/>
      <c r="C7" s="162">
        <v>1</v>
      </c>
      <c r="D7" s="162">
        <v>1</v>
      </c>
      <c r="E7" s="162">
        <v>1</v>
      </c>
      <c r="F7" s="162">
        <v>1</v>
      </c>
      <c r="G7" s="162">
        <v>1</v>
      </c>
      <c r="H7" s="162">
        <v>1</v>
      </c>
      <c r="I7" s="162">
        <v>1</v>
      </c>
      <c r="J7" s="162">
        <v>1</v>
      </c>
      <c r="K7" s="162">
        <v>1</v>
      </c>
      <c r="L7" s="162">
        <v>1</v>
      </c>
      <c r="M7" s="162">
        <v>1</v>
      </c>
      <c r="N7" s="162">
        <v>1</v>
      </c>
      <c r="P7" s="22">
        <v>2</v>
      </c>
      <c r="Q7" s="154" t="str">
        <f t="shared" si="0"/>
        <v>Not aware</v>
      </c>
      <c r="R7" s="154"/>
    </row>
    <row r="8" spans="1:19" ht="11.5" customHeight="1" x14ac:dyDescent="0.35">
      <c r="A8" s="161"/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P8" s="22">
        <v>3</v>
      </c>
      <c r="Q8" s="154" t="str">
        <f t="shared" si="0"/>
        <v>Not concerned</v>
      </c>
      <c r="R8" s="154"/>
    </row>
    <row r="9" spans="1:19" ht="11.5" customHeight="1" x14ac:dyDescent="0.35">
      <c r="A9" s="161"/>
      <c r="B9" s="161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P9" s="22">
        <v>4</v>
      </c>
      <c r="Q9" s="154" t="str">
        <f t="shared" si="0"/>
        <v>Some complaints</v>
      </c>
      <c r="R9" s="154"/>
    </row>
    <row r="10" spans="1:19" ht="11.5" customHeight="1" x14ac:dyDescent="0.35">
      <c r="A10" s="4" t="s">
        <v>41</v>
      </c>
      <c r="B10" s="4"/>
      <c r="P10" s="22">
        <v>5</v>
      </c>
      <c r="Q10" s="154" t="str">
        <f t="shared" si="0"/>
        <v>Upto 1000 (10%) complaints</v>
      </c>
      <c r="R10" s="154"/>
    </row>
    <row r="11" spans="1:19" ht="11.5" customHeight="1" x14ac:dyDescent="0.35">
      <c r="A11" s="163" t="s">
        <v>2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P11" s="22">
        <v>6</v>
      </c>
      <c r="Q11" s="154" t="str">
        <f t="shared" si="0"/>
        <v>Over 1000 (10%) complaints</v>
      </c>
      <c r="R11" s="154"/>
    </row>
    <row r="12" spans="1:19" ht="11.5" customHeight="1" x14ac:dyDescent="0.3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P12" s="22">
        <v>7</v>
      </c>
      <c r="Q12" s="154" t="str">
        <f t="shared" si="0"/>
        <v>Upto 1000 (10%) cancel/leave</v>
      </c>
      <c r="R12" s="154"/>
    </row>
    <row r="13" spans="1:19" ht="11.5" customHeight="1" x14ac:dyDescent="0.3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P13" s="22">
        <v>8</v>
      </c>
      <c r="Q13" s="154" t="str">
        <f t="shared" si="0"/>
        <v>Over 1000 (10%) cancel/leave</v>
      </c>
      <c r="R13" s="154"/>
    </row>
    <row r="14" spans="1:19" ht="11.5" customHeight="1" x14ac:dyDescent="0.3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P14" s="22">
        <v>9</v>
      </c>
      <c r="Q14" s="154" t="str">
        <f t="shared" si="0"/>
        <v>Majority cancel/leave</v>
      </c>
      <c r="R14" s="154"/>
    </row>
    <row r="15" spans="1:19" ht="11.5" customHeight="1" x14ac:dyDescent="0.3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P15" s="22">
        <v>10</v>
      </c>
      <c r="Q15" s="154" t="str">
        <f t="shared" si="0"/>
        <v>Mass Exodus - cancel all</v>
      </c>
      <c r="R15" s="154"/>
    </row>
    <row r="16" spans="1:19" ht="11.5" customHeight="1" x14ac:dyDescent="0.35"/>
    <row r="17" spans="1:18" ht="30" customHeight="1" x14ac:dyDescent="0.35">
      <c r="A17" s="2" t="s">
        <v>43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5" customHeight="1" x14ac:dyDescent="0.35">
      <c r="C18" s="19" t="str">
        <f ca="1">INDEX(TimePeriods,0,1)</f>
        <v>1 hr</v>
      </c>
      <c r="D18" s="19" t="str">
        <f ca="1">INDEX(TimePeriods,0,2)</f>
        <v>4 hrs</v>
      </c>
      <c r="E18" s="19" t="str">
        <f ca="1">INDEX(TimePeriods,0,3)</f>
        <v>8 hrs</v>
      </c>
      <c r="F18" s="19" t="str">
        <f ca="1">INDEX(TimePeriods,0,4)</f>
        <v>1 day</v>
      </c>
      <c r="G18" s="19" t="str">
        <f ca="1">INDEX(TimePeriods,0,5)</f>
        <v>2 days</v>
      </c>
      <c r="H18" s="19" t="str">
        <f ca="1">INDEX(TimePeriods,0,6)</f>
        <v>3 days</v>
      </c>
      <c r="I18" s="19" t="str">
        <f ca="1">INDEX(TimePeriods,0,7)</f>
        <v>1 wk</v>
      </c>
      <c r="J18" s="19" t="str">
        <f ca="1">INDEX(TimePeriods,0,8)</f>
        <v>2 wks</v>
      </c>
      <c r="K18" s="19" t="str">
        <f ca="1">INDEX(TimePeriods,0,9)</f>
        <v>3 wks</v>
      </c>
      <c r="L18" s="19" t="str">
        <f ca="1">INDEX(TimePeriods,0,10)</f>
        <v>1 mth</v>
      </c>
      <c r="M18" s="19" t="str">
        <f ca="1">INDEX(TimePeriods,0,11)</f>
        <v>2 mths</v>
      </c>
      <c r="N18" s="19" t="str">
        <f ca="1">INDEX(TimePeriods,0,12)</f>
        <v>3 mths</v>
      </c>
      <c r="P18" s="22">
        <v>1</v>
      </c>
      <c r="Q18" s="154" t="str">
        <f t="shared" ref="Q18:Q27" si="1">VLOOKUP(P18,FinancialRatings,2,FALSE)</f>
        <v>No financial loss</v>
      </c>
      <c r="R18" s="154"/>
    </row>
    <row r="19" spans="1:18" ht="11.5" customHeight="1" x14ac:dyDescent="0.35">
      <c r="A19" s="161" t="s">
        <v>20</v>
      </c>
      <c r="B19" s="161"/>
      <c r="C19" s="162">
        <v>1</v>
      </c>
      <c r="D19" s="162">
        <v>1</v>
      </c>
      <c r="E19" s="162">
        <v>1</v>
      </c>
      <c r="F19" s="162">
        <v>1</v>
      </c>
      <c r="G19" s="162">
        <v>1</v>
      </c>
      <c r="H19" s="162">
        <v>1</v>
      </c>
      <c r="I19" s="162">
        <v>1</v>
      </c>
      <c r="J19" s="162">
        <v>1</v>
      </c>
      <c r="K19" s="162">
        <v>1</v>
      </c>
      <c r="L19" s="162">
        <v>1</v>
      </c>
      <c r="M19" s="162">
        <v>1</v>
      </c>
      <c r="N19" s="162">
        <v>1</v>
      </c>
      <c r="P19" s="22">
        <v>2</v>
      </c>
      <c r="Q19" s="154" t="str">
        <f t="shared" si="1"/>
        <v>upto £1,000 loss</v>
      </c>
      <c r="R19" s="154"/>
    </row>
    <row r="20" spans="1:18" ht="11.5" customHeight="1" x14ac:dyDescent="0.35">
      <c r="A20" s="161"/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P20" s="22">
        <v>3</v>
      </c>
      <c r="Q20" s="154" t="str">
        <f t="shared" si="1"/>
        <v>upto £5,000 loss</v>
      </c>
      <c r="R20" s="154"/>
    </row>
    <row r="21" spans="1:18" ht="11.5" customHeight="1" x14ac:dyDescent="0.35">
      <c r="A21" s="161"/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P21" s="22">
        <v>4</v>
      </c>
      <c r="Q21" s="154" t="str">
        <f t="shared" si="1"/>
        <v>upto £25,000 loss</v>
      </c>
      <c r="R21" s="154"/>
    </row>
    <row r="22" spans="1:18" ht="11.5" customHeight="1" x14ac:dyDescent="0.35">
      <c r="A22" s="4" t="s">
        <v>41</v>
      </c>
      <c r="B22" s="4"/>
      <c r="P22" s="22">
        <v>5</v>
      </c>
      <c r="Q22" s="154" t="str">
        <f t="shared" si="1"/>
        <v>upto £50,000 loss</v>
      </c>
      <c r="R22" s="154"/>
    </row>
    <row r="23" spans="1:18" ht="11.5" customHeight="1" x14ac:dyDescent="0.35">
      <c r="A23" s="163" t="s">
        <v>2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P23" s="22">
        <v>6</v>
      </c>
      <c r="Q23" s="154" t="str">
        <f t="shared" si="1"/>
        <v>upto £100,000 loss</v>
      </c>
      <c r="R23" s="154"/>
    </row>
    <row r="24" spans="1:18" ht="11.5" customHeight="1" x14ac:dyDescent="0.3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P24" s="22">
        <v>7</v>
      </c>
      <c r="Q24" s="154" t="str">
        <f t="shared" si="1"/>
        <v>upto £200,000 loss</v>
      </c>
      <c r="R24" s="154"/>
    </row>
    <row r="25" spans="1:18" ht="11.5" customHeight="1" x14ac:dyDescent="0.3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P25" s="22">
        <v>8</v>
      </c>
      <c r="Q25" s="154" t="str">
        <f t="shared" si="1"/>
        <v>upto £500,000 loss</v>
      </c>
      <c r="R25" s="154"/>
    </row>
    <row r="26" spans="1:18" ht="11.5" customHeight="1" x14ac:dyDescent="0.3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P26" s="22">
        <v>9</v>
      </c>
      <c r="Q26" s="154" t="str">
        <f t="shared" si="1"/>
        <v>upto £1,000,000 loss</v>
      </c>
      <c r="R26" s="154"/>
    </row>
    <row r="27" spans="1:18" ht="11.5" customHeight="1" x14ac:dyDescent="0.3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P27" s="22">
        <v>10</v>
      </c>
      <c r="Q27" s="154" t="str">
        <f t="shared" si="1"/>
        <v>Over £1m loss</v>
      </c>
      <c r="R27" s="154"/>
    </row>
    <row r="28" spans="1:18" ht="11.5" customHeight="1" x14ac:dyDescent="0.35"/>
    <row r="29" spans="1:18" ht="30" customHeight="1" x14ac:dyDescent="0.35">
      <c r="A29" s="2" t="s">
        <v>44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5" customHeight="1" x14ac:dyDescent="0.35">
      <c r="C30" s="19" t="str">
        <f ca="1">INDEX(TimePeriods,0,1)</f>
        <v>1 hr</v>
      </c>
      <c r="D30" s="19" t="str">
        <f ca="1">INDEX(TimePeriods,0,2)</f>
        <v>4 hrs</v>
      </c>
      <c r="E30" s="19" t="str">
        <f ca="1">INDEX(TimePeriods,0,3)</f>
        <v>8 hrs</v>
      </c>
      <c r="F30" s="19" t="str">
        <f ca="1">INDEX(TimePeriods,0,4)</f>
        <v>1 day</v>
      </c>
      <c r="G30" s="19" t="str">
        <f ca="1">INDEX(TimePeriods,0,5)</f>
        <v>2 days</v>
      </c>
      <c r="H30" s="19" t="str">
        <f ca="1">INDEX(TimePeriods,0,6)</f>
        <v>3 days</v>
      </c>
      <c r="I30" s="19" t="str">
        <f ca="1">INDEX(TimePeriods,0,7)</f>
        <v>1 wk</v>
      </c>
      <c r="J30" s="19" t="str">
        <f ca="1">INDEX(TimePeriods,0,8)</f>
        <v>2 wks</v>
      </c>
      <c r="K30" s="19" t="str">
        <f ca="1">INDEX(TimePeriods,0,9)</f>
        <v>3 wks</v>
      </c>
      <c r="L30" s="19" t="str">
        <f ca="1">INDEX(TimePeriods,0,10)</f>
        <v>1 mth</v>
      </c>
      <c r="M30" s="19" t="str">
        <f ca="1">INDEX(TimePeriods,0,11)</f>
        <v>2 mths</v>
      </c>
      <c r="N30" s="19" t="str">
        <f ca="1">INDEX(TimePeriods,0,12)</f>
        <v>3 mths</v>
      </c>
      <c r="P30" s="22">
        <v>1</v>
      </c>
      <c r="Q30" s="154" t="str">
        <f t="shared" ref="Q30:Q39" si="2">VLOOKUP(P30,ReputationalRatings,2,FALSE)</f>
        <v>No Impact</v>
      </c>
      <c r="R30" s="154"/>
    </row>
    <row r="31" spans="1:18" ht="11.5" customHeight="1" x14ac:dyDescent="0.35">
      <c r="A31" s="161" t="s">
        <v>19</v>
      </c>
      <c r="B31" s="161"/>
      <c r="C31" s="162">
        <v>1</v>
      </c>
      <c r="D31" s="162">
        <v>1</v>
      </c>
      <c r="E31" s="162">
        <v>1</v>
      </c>
      <c r="F31" s="162">
        <v>1</v>
      </c>
      <c r="G31" s="162">
        <v>1</v>
      </c>
      <c r="H31" s="162">
        <v>1</v>
      </c>
      <c r="I31" s="162">
        <v>1</v>
      </c>
      <c r="J31" s="162">
        <v>1</v>
      </c>
      <c r="K31" s="162">
        <v>1</v>
      </c>
      <c r="L31" s="162">
        <v>1</v>
      </c>
      <c r="M31" s="162">
        <v>1</v>
      </c>
      <c r="N31" s="162">
        <v>1</v>
      </c>
      <c r="P31" s="22">
        <v>2</v>
      </c>
      <c r="Q31" s="154" t="str">
        <f t="shared" si="2"/>
        <v>Elevated levels of complaint</v>
      </c>
      <c r="R31" s="154"/>
    </row>
    <row r="32" spans="1:18" ht="11.5" customHeight="1" x14ac:dyDescent="0.35">
      <c r="A32" s="161"/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P32" s="22">
        <v>3</v>
      </c>
      <c r="Q32" s="154" t="str">
        <f t="shared" si="2"/>
        <v>Instances of localised protest</v>
      </c>
      <c r="R32" s="154"/>
    </row>
    <row r="33" spans="1:18" ht="11.5" customHeight="1" x14ac:dyDescent="0.35">
      <c r="A33" s="161"/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P33" s="22">
        <v>4</v>
      </c>
      <c r="Q33" s="154" t="str">
        <f t="shared" si="2"/>
        <v xml:space="preserve">PR mobilisation required </v>
      </c>
      <c r="R33" s="154"/>
    </row>
    <row r="34" spans="1:18" ht="11.5" customHeight="1" x14ac:dyDescent="0.35">
      <c r="A34" s="4" t="s">
        <v>41</v>
      </c>
      <c r="B34" s="4"/>
      <c r="P34" s="22">
        <v>5</v>
      </c>
      <c r="Q34" s="154" t="str">
        <f t="shared" si="2"/>
        <v>Adverse report in local/industry press</v>
      </c>
      <c r="R34" s="154"/>
    </row>
    <row r="35" spans="1:18" ht="11.5" customHeight="1" x14ac:dyDescent="0.35">
      <c r="A35" s="163" t="s">
        <v>2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P35" s="22">
        <v>6</v>
      </c>
      <c r="Q35" s="154" t="str">
        <f t="shared" si="2"/>
        <v>Protest trending on social media</v>
      </c>
      <c r="R35" s="154"/>
    </row>
    <row r="36" spans="1:18" ht="11.5" customHeight="1" x14ac:dyDescent="0.3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P36" s="22">
        <v>7</v>
      </c>
      <c r="Q36" s="154" t="str">
        <f t="shared" si="2"/>
        <v>Adverse reporting in national press</v>
      </c>
      <c r="R36" s="154"/>
    </row>
    <row r="37" spans="1:18" ht="11.5" customHeight="1" x14ac:dyDescent="0.3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P37" s="22">
        <v>8</v>
      </c>
      <c r="Q37" s="154" t="str">
        <f t="shared" si="2"/>
        <v>C-Level PR response required</v>
      </c>
      <c r="R37" s="154"/>
    </row>
    <row r="38" spans="1:18" ht="11.5" customHeight="1" x14ac:dyDescent="0.3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P38" s="22">
        <v>9</v>
      </c>
      <c r="Q38" s="154" t="str">
        <f t="shared" si="2"/>
        <v>Significant long-term brand harm</v>
      </c>
      <c r="R38" s="154"/>
    </row>
    <row r="39" spans="1:18" ht="11.5" customHeight="1" x14ac:dyDescent="0.3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P39" s="22">
        <v>10</v>
      </c>
      <c r="Q39" s="154" t="str">
        <f t="shared" si="2"/>
        <v>Permanent brand impact</v>
      </c>
      <c r="R39" s="154"/>
    </row>
    <row r="40" spans="1:18" ht="11.5" customHeight="1" x14ac:dyDescent="0.35"/>
    <row r="41" spans="1:18" ht="30" customHeight="1" x14ac:dyDescent="0.35">
      <c r="A41" s="2" t="s">
        <v>54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1.5" customHeight="1" x14ac:dyDescent="0.35">
      <c r="C42" s="19" t="str">
        <f ca="1">INDEX(TimePeriods,0,1)</f>
        <v>1 hr</v>
      </c>
      <c r="D42" s="19" t="str">
        <f ca="1">INDEX(TimePeriods,0,2)</f>
        <v>4 hrs</v>
      </c>
      <c r="E42" s="19" t="str">
        <f ca="1">INDEX(TimePeriods,0,3)</f>
        <v>8 hrs</v>
      </c>
      <c r="F42" s="19" t="str">
        <f ca="1">INDEX(TimePeriods,0,4)</f>
        <v>1 day</v>
      </c>
      <c r="G42" s="19" t="str">
        <f ca="1">INDEX(TimePeriods,0,5)</f>
        <v>2 days</v>
      </c>
      <c r="H42" s="19" t="str">
        <f ca="1">INDEX(TimePeriods,0,6)</f>
        <v>3 days</v>
      </c>
      <c r="I42" s="19" t="str">
        <f ca="1">INDEX(TimePeriods,0,7)</f>
        <v>1 wk</v>
      </c>
      <c r="J42" s="19" t="str">
        <f ca="1">INDEX(TimePeriods,0,8)</f>
        <v>2 wks</v>
      </c>
      <c r="K42" s="19" t="str">
        <f ca="1">INDEX(TimePeriods,0,9)</f>
        <v>3 wks</v>
      </c>
      <c r="L42" s="19" t="str">
        <f ca="1">INDEX(TimePeriods,0,10)</f>
        <v>1 mth</v>
      </c>
      <c r="M42" s="19" t="str">
        <f ca="1">INDEX(TimePeriods,0,11)</f>
        <v>2 mths</v>
      </c>
      <c r="N42" s="19" t="str">
        <f ca="1">INDEX(TimePeriods,0,12)</f>
        <v>3 mths</v>
      </c>
      <c r="P42" s="22">
        <v>1</v>
      </c>
      <c r="Q42" s="154" t="str">
        <f t="shared" ref="Q42:Q51" si="3">VLOOKUP(P42,ComplianceRatings,2,FALSE)</f>
        <v>No Impact</v>
      </c>
      <c r="R42" s="154"/>
    </row>
    <row r="43" spans="1:18" ht="11.5" customHeight="1" x14ac:dyDescent="0.35">
      <c r="A43" s="161" t="s">
        <v>56</v>
      </c>
      <c r="B43" s="161"/>
      <c r="C43" s="162">
        <v>1</v>
      </c>
      <c r="D43" s="162">
        <v>1</v>
      </c>
      <c r="E43" s="162">
        <v>1</v>
      </c>
      <c r="F43" s="162">
        <v>1</v>
      </c>
      <c r="G43" s="162">
        <v>1</v>
      </c>
      <c r="H43" s="162">
        <v>1</v>
      </c>
      <c r="I43" s="162">
        <v>1</v>
      </c>
      <c r="J43" s="162">
        <v>1</v>
      </c>
      <c r="K43" s="162">
        <v>1</v>
      </c>
      <c r="L43" s="162">
        <v>1</v>
      </c>
      <c r="M43" s="162">
        <v>1</v>
      </c>
      <c r="N43" s="162">
        <v>1</v>
      </c>
      <c r="P43" s="22">
        <v>2</v>
      </c>
      <c r="Q43" s="154" t="str">
        <f t="shared" si="3"/>
        <v>Goals affected / near-miss events</v>
      </c>
      <c r="R43" s="154"/>
    </row>
    <row r="44" spans="1:18" ht="11.5" customHeight="1" x14ac:dyDescent="0.35">
      <c r="A44" s="16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P44" s="22">
        <v>3</v>
      </c>
      <c r="Q44" s="154" t="str">
        <f t="shared" si="3"/>
        <v/>
      </c>
      <c r="R44" s="154"/>
    </row>
    <row r="45" spans="1:18" ht="11.5" customHeight="1" x14ac:dyDescent="0.35">
      <c r="A45" s="161"/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P45" s="22">
        <v>4</v>
      </c>
      <c r="Q45" s="154" t="str">
        <f t="shared" si="3"/>
        <v>Missed Objectives / breach events</v>
      </c>
      <c r="R45" s="154"/>
    </row>
    <row r="46" spans="1:18" ht="11.5" customHeight="1" x14ac:dyDescent="0.35">
      <c r="A46" s="4" t="s">
        <v>41</v>
      </c>
      <c r="B46" s="4"/>
      <c r="P46" s="22">
        <v>5</v>
      </c>
      <c r="Q46" s="154" t="str">
        <f t="shared" si="3"/>
        <v/>
      </c>
      <c r="R46" s="154"/>
    </row>
    <row r="47" spans="1:18" ht="11.5" customHeight="1" x14ac:dyDescent="0.35">
      <c r="A47" s="160" t="s">
        <v>2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P47" s="22">
        <v>6</v>
      </c>
      <c r="Q47" s="154" t="str">
        <f t="shared" si="3"/>
        <v>Short-term Harm / regulator censure</v>
      </c>
      <c r="R47" s="154"/>
    </row>
    <row r="48" spans="1:18" ht="11.5" customHeight="1" x14ac:dyDescent="0.3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P48" s="22">
        <v>7</v>
      </c>
      <c r="Q48" s="154" t="str">
        <f t="shared" si="3"/>
        <v/>
      </c>
      <c r="R48" s="154"/>
    </row>
    <row r="49" spans="1:18" ht="11.5" customHeight="1" x14ac:dyDescent="0.3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P49" s="22">
        <v>8</v>
      </c>
      <c r="Q49" s="154" t="str">
        <f t="shared" si="3"/>
        <v>Long-term Harm / regulatory fines</v>
      </c>
      <c r="R49" s="154"/>
    </row>
    <row r="50" spans="1:18" ht="11.5" customHeight="1" x14ac:dyDescent="0.35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P50" s="22">
        <v>9</v>
      </c>
      <c r="Q50" s="154" t="str">
        <f t="shared" si="3"/>
        <v>Permanent impact</v>
      </c>
      <c r="R50" s="154"/>
    </row>
    <row r="51" spans="1:18" ht="11.5" customHeight="1" x14ac:dyDescent="0.3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P51" s="22">
        <v>10</v>
      </c>
      <c r="Q51" s="154" t="str">
        <f t="shared" si="3"/>
        <v>Failure of Company Likely</v>
      </c>
      <c r="R51" s="154"/>
    </row>
    <row r="52" spans="1:18" ht="11.5" customHeight="1" x14ac:dyDescent="0.35"/>
    <row r="53" spans="1:18" ht="30" customHeight="1" x14ac:dyDescent="0.35">
      <c r="A53" s="2" t="s">
        <v>45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4.5" customHeight="1" x14ac:dyDescent="0.35">
      <c r="A54" s="159" t="s">
        <v>2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</row>
    <row r="55" spans="1:18" x14ac:dyDescent="0.35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</row>
    <row r="56" spans="1:18" x14ac:dyDescent="0.3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</row>
    <row r="57" spans="1:18" x14ac:dyDescent="0.35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</row>
    <row r="58" spans="1:18" x14ac:dyDescent="0.35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</row>
    <row r="59" spans="1:18" x14ac:dyDescent="0.35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</row>
    <row r="61" spans="1:18" x14ac:dyDescent="0.35">
      <c r="A61" s="6" t="s">
        <v>46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8"/>
    </row>
    <row r="62" spans="1:18" x14ac:dyDescent="0.35">
      <c r="A62" s="61"/>
      <c r="B62" s="155" t="s">
        <v>47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62"/>
    </row>
    <row r="63" spans="1:18" x14ac:dyDescent="0.35">
      <c r="A63" s="61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62"/>
    </row>
    <row r="64" spans="1:18" x14ac:dyDescent="0.35">
      <c r="A64" s="61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62"/>
    </row>
    <row r="65" spans="1:18" x14ac:dyDescent="0.35">
      <c r="A65" s="61"/>
      <c r="B65" s="63" t="s">
        <v>40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158" t="s">
        <v>48</v>
      </c>
      <c r="Q65" s="158"/>
      <c r="R65" s="62"/>
    </row>
    <row r="66" spans="1:18" x14ac:dyDescent="0.35">
      <c r="A66" s="61"/>
      <c r="B66" s="157" t="s">
        <v>64</v>
      </c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65"/>
      <c r="P66" s="156">
        <v>43604</v>
      </c>
      <c r="Q66" s="156"/>
      <c r="R66" s="62"/>
    </row>
    <row r="67" spans="1:18" x14ac:dyDescent="0.35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8"/>
    </row>
  </sheetData>
  <mergeCells count="103">
    <mergeCell ref="A23:N27"/>
    <mergeCell ref="Q20:R20"/>
    <mergeCell ref="M19:M21"/>
    <mergeCell ref="N19:N21"/>
    <mergeCell ref="A7:B9"/>
    <mergeCell ref="A19:B21"/>
    <mergeCell ref="L19:L21"/>
    <mergeCell ref="A3:N3"/>
    <mergeCell ref="P3:R3"/>
    <mergeCell ref="Q6:R6"/>
    <mergeCell ref="Q13:R13"/>
    <mergeCell ref="Q14:R14"/>
    <mergeCell ref="Q15:R15"/>
    <mergeCell ref="Q18:R18"/>
    <mergeCell ref="Q19:R19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M7:M9"/>
    <mergeCell ref="N7:N9"/>
    <mergeCell ref="H7:H9"/>
    <mergeCell ref="I7:I9"/>
    <mergeCell ref="J7:J9"/>
    <mergeCell ref="K7:K9"/>
    <mergeCell ref="L7:L9"/>
    <mergeCell ref="C7:C9"/>
    <mergeCell ref="D7:D9"/>
    <mergeCell ref="E7:E9"/>
    <mergeCell ref="F7:F9"/>
    <mergeCell ref="G7:G9"/>
    <mergeCell ref="Q34:R34"/>
    <mergeCell ref="Q35:R3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Q43:R43"/>
    <mergeCell ref="Q44:R44"/>
    <mergeCell ref="Q45:R45"/>
    <mergeCell ref="Q23:R23"/>
    <mergeCell ref="Q24:R24"/>
    <mergeCell ref="Q25:R25"/>
    <mergeCell ref="Q26:R26"/>
    <mergeCell ref="Q27:R27"/>
    <mergeCell ref="Q30:R30"/>
    <mergeCell ref="Q31:R31"/>
    <mergeCell ref="Q32:R32"/>
    <mergeCell ref="Q33:R33"/>
    <mergeCell ref="A31:B33"/>
    <mergeCell ref="A43:B45"/>
    <mergeCell ref="Q7:R7"/>
    <mergeCell ref="Q8:R8"/>
    <mergeCell ref="Q9:R9"/>
    <mergeCell ref="Q10:R10"/>
    <mergeCell ref="Q11:R11"/>
    <mergeCell ref="Q12:R12"/>
    <mergeCell ref="Q21:R21"/>
    <mergeCell ref="Q22:R22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A35:N39"/>
    <mergeCell ref="A11:N15"/>
    <mergeCell ref="Q46:R46"/>
    <mergeCell ref="Q47:R47"/>
    <mergeCell ref="Q36:R36"/>
    <mergeCell ref="Q37:R37"/>
    <mergeCell ref="Q38:R38"/>
    <mergeCell ref="Q39:R39"/>
    <mergeCell ref="Q42:R42"/>
    <mergeCell ref="B62:Q64"/>
    <mergeCell ref="P66:Q66"/>
    <mergeCell ref="B66:N66"/>
    <mergeCell ref="P65:Q65"/>
    <mergeCell ref="Q48:R48"/>
    <mergeCell ref="Q49:R49"/>
    <mergeCell ref="Q50:R50"/>
    <mergeCell ref="Q51:R51"/>
    <mergeCell ref="A54:R59"/>
    <mergeCell ref="A47:N51"/>
  </mergeCells>
  <dataValidations count="1">
    <dataValidation type="decimal" allowBlank="1" showInputMessage="1" showErrorMessage="1" sqref="C31:N33 C43:N45 C19:N21 C7:N9" xr:uid="{17F2F5D1-4619-4C52-AF3C-8F0605DC5785}">
      <formula1>0</formula1>
      <formula2>10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horizontalDpi="0" verticalDpi="0" r:id="rId1"/>
  <headerFooter scaleWithDoc="0">
    <oddFooter>&amp;L&amp;9&amp;G www.erickendrick.com&amp;R&amp;9&amp;K06+000This work is licensed under a Creative Commons Attribution-NoDerivatives 4.0 International License.
&amp;K000000Copyright © 2019 Eric Kendrick.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B5B5-1DA8-42CF-A812-E1D85F37132E}">
  <sheetPr>
    <tabColor theme="6" tint="-0.249977111117893"/>
    <pageSetUpPr fitToPage="1"/>
  </sheetPr>
  <dimension ref="A1:M21"/>
  <sheetViews>
    <sheetView zoomScaleNormal="100" workbookViewId="0">
      <selection activeCell="C44" sqref="C44"/>
    </sheetView>
  </sheetViews>
  <sheetFormatPr defaultColWidth="8.7265625" defaultRowHeight="14.5" x14ac:dyDescent="0.35"/>
  <cols>
    <col min="1" max="1" width="14.54296875" style="1" customWidth="1"/>
    <col min="2" max="13" width="7.26953125" style="1" customWidth="1"/>
    <col min="14" max="16384" width="8.7265625" style="1"/>
  </cols>
  <sheetData>
    <row r="1" spans="1:13" s="18" customFormat="1" ht="18.5" x14ac:dyDescent="0.45">
      <c r="A1" s="17" t="str">
        <f>"DR Business Impact Analysis - " &amp;Questionnaire!A3</f>
        <v>DR Business Impact Analysis - Microsoft Dynamics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0" customHeight="1" x14ac:dyDescent="0.35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9" customFormat="1" ht="14.5" customHeight="1" x14ac:dyDescent="0.35">
      <c r="A3" s="165" t="s">
        <v>60</v>
      </c>
      <c r="B3" s="165"/>
      <c r="C3" s="165"/>
      <c r="E3" s="165" t="s">
        <v>63</v>
      </c>
      <c r="F3" s="165"/>
      <c r="G3" s="165"/>
      <c r="H3" s="165"/>
      <c r="J3" s="165" t="s">
        <v>61</v>
      </c>
      <c r="K3" s="165"/>
      <c r="L3" s="165"/>
      <c r="M3" s="165"/>
    </row>
    <row r="4" spans="1:13" ht="14.5" customHeight="1" x14ac:dyDescent="0.35">
      <c r="A4" s="166">
        <f>Questionnaire!P66</f>
        <v>43604</v>
      </c>
      <c r="B4" s="167"/>
      <c r="C4" s="168"/>
      <c r="E4" s="166" t="str">
        <f ca="1">Analysis_Criticality</f>
        <v>High</v>
      </c>
      <c r="F4" s="167"/>
      <c r="G4" s="167"/>
      <c r="H4" s="168"/>
      <c r="J4" s="166" t="str">
        <f ca="1">Analysis_MTO</f>
        <v>1 mth</v>
      </c>
      <c r="K4" s="167"/>
      <c r="L4" s="167"/>
      <c r="M4" s="168"/>
    </row>
    <row r="5" spans="1:13" ht="14.5" customHeight="1" x14ac:dyDescent="0.35">
      <c r="A5" s="169"/>
      <c r="B5" s="170"/>
      <c r="C5" s="171"/>
      <c r="E5" s="169"/>
      <c r="F5" s="170"/>
      <c r="G5" s="170"/>
      <c r="H5" s="171"/>
      <c r="J5" s="169"/>
      <c r="K5" s="170"/>
      <c r="L5" s="170"/>
      <c r="M5" s="171"/>
    </row>
    <row r="7" spans="1:13" ht="30" customHeight="1" x14ac:dyDescent="0.35">
      <c r="A7" s="2" t="s">
        <v>57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5">
      <c r="B8" s="19" t="str">
        <f ca="1">INDEX(TimePeriods,0,1)</f>
        <v>1 hr</v>
      </c>
      <c r="C8" s="19" t="str">
        <f ca="1">INDEX(TimePeriods,0,2)</f>
        <v>4 hrs</v>
      </c>
      <c r="D8" s="19" t="str">
        <f ca="1">INDEX(TimePeriods,0,3)</f>
        <v>8 hrs</v>
      </c>
      <c r="E8" s="19" t="str">
        <f ca="1">INDEX(TimePeriods,0,4)</f>
        <v>1 day</v>
      </c>
      <c r="F8" s="19" t="str">
        <f ca="1">INDEX(TimePeriods,0,5)</f>
        <v>2 days</v>
      </c>
      <c r="G8" s="19" t="str">
        <f ca="1">INDEX(TimePeriods,0,6)</f>
        <v>3 days</v>
      </c>
      <c r="H8" s="19" t="str">
        <f ca="1">INDEX(TimePeriods,0,7)</f>
        <v>1 wk</v>
      </c>
      <c r="I8" s="19" t="str">
        <f ca="1">INDEX(TimePeriods,0,8)</f>
        <v>2 wks</v>
      </c>
      <c r="J8" s="19" t="str">
        <f ca="1">INDEX(TimePeriods,0,9)</f>
        <v>3 wks</v>
      </c>
      <c r="K8" s="19" t="str">
        <f ca="1">INDEX(TimePeriods,0,10)</f>
        <v>1 mth</v>
      </c>
      <c r="L8" s="19" t="str">
        <f ca="1">INDEX(TimePeriods,0,11)</f>
        <v>2 mths</v>
      </c>
      <c r="M8" s="19" t="str">
        <f ca="1">INDEX(TimePeriods,0,12)</f>
        <v>3 mths</v>
      </c>
    </row>
    <row r="9" spans="1:13" ht="30" customHeight="1" x14ac:dyDescent="0.35">
      <c r="A9" s="21" t="s">
        <v>51</v>
      </c>
      <c r="B9" s="20">
        <f>ROUNDDOWN(Questionnaire!C7,0)</f>
        <v>1</v>
      </c>
      <c r="C9" s="20">
        <f>ROUNDDOWN(Questionnaire!D7,0)</f>
        <v>1</v>
      </c>
      <c r="D9" s="20">
        <f>ROUNDDOWN(Questionnaire!E7,0)</f>
        <v>1</v>
      </c>
      <c r="E9" s="20">
        <f>ROUNDDOWN(Questionnaire!F7,0)</f>
        <v>1</v>
      </c>
      <c r="F9" s="20">
        <f>ROUNDDOWN(Questionnaire!G7,0)</f>
        <v>1</v>
      </c>
      <c r="G9" s="20">
        <f>ROUNDDOWN(Questionnaire!H7,0)</f>
        <v>1</v>
      </c>
      <c r="H9" s="20">
        <f>ROUNDDOWN(Questionnaire!I7,0)</f>
        <v>1</v>
      </c>
      <c r="I9" s="20">
        <f>ROUNDDOWN(Questionnaire!J7,0)</f>
        <v>1</v>
      </c>
      <c r="J9" s="20">
        <f>ROUNDDOWN(Questionnaire!K7,0)</f>
        <v>1</v>
      </c>
      <c r="K9" s="20">
        <f>ROUNDDOWN(Questionnaire!L7,0)</f>
        <v>1</v>
      </c>
      <c r="L9" s="20">
        <f>ROUNDDOWN(Questionnaire!M7,0)</f>
        <v>1</v>
      </c>
      <c r="M9" s="20">
        <f>ROUNDDOWN(Questionnaire!N7,0)</f>
        <v>1</v>
      </c>
    </row>
    <row r="10" spans="1:13" ht="30" customHeight="1" x14ac:dyDescent="0.35">
      <c r="A10" s="21" t="s">
        <v>52</v>
      </c>
      <c r="B10" s="20">
        <f>ROUNDDOWN(Questionnaire!C19,0)</f>
        <v>1</v>
      </c>
      <c r="C10" s="20">
        <f>ROUNDDOWN(Questionnaire!D19,0)</f>
        <v>1</v>
      </c>
      <c r="D10" s="20">
        <f>ROUNDDOWN(Questionnaire!E19,0)</f>
        <v>1</v>
      </c>
      <c r="E10" s="20">
        <f>ROUNDDOWN(Questionnaire!F19,0)</f>
        <v>1</v>
      </c>
      <c r="F10" s="20">
        <f>ROUNDDOWN(Questionnaire!G19,0)</f>
        <v>1</v>
      </c>
      <c r="G10" s="20">
        <f>ROUNDDOWN(Questionnaire!H19,0)</f>
        <v>1</v>
      </c>
      <c r="H10" s="20">
        <f>ROUNDDOWN(Questionnaire!I19,0)</f>
        <v>1</v>
      </c>
      <c r="I10" s="20">
        <f>ROUNDDOWN(Questionnaire!J19,0)</f>
        <v>1</v>
      </c>
      <c r="J10" s="20">
        <f>ROUNDDOWN(Questionnaire!K19,0)</f>
        <v>1</v>
      </c>
      <c r="K10" s="20">
        <f>ROUNDDOWN(Questionnaire!L19,0)</f>
        <v>1</v>
      </c>
      <c r="L10" s="20">
        <f>ROUNDDOWN(Questionnaire!M19,0)</f>
        <v>1</v>
      </c>
      <c r="M10" s="20">
        <f>ROUNDDOWN(Questionnaire!N19,0)</f>
        <v>1</v>
      </c>
    </row>
    <row r="11" spans="1:13" ht="30" customHeight="1" x14ac:dyDescent="0.35">
      <c r="A11" s="21" t="s">
        <v>53</v>
      </c>
      <c r="B11" s="20">
        <f>ROUNDDOWN(Questionnaire!C31,0)</f>
        <v>1</v>
      </c>
      <c r="C11" s="20">
        <f>ROUNDDOWN(Questionnaire!D31,0)</f>
        <v>1</v>
      </c>
      <c r="D11" s="20">
        <f>ROUNDDOWN(Questionnaire!E31,0)</f>
        <v>1</v>
      </c>
      <c r="E11" s="20">
        <f>ROUNDDOWN(Questionnaire!F31,0)</f>
        <v>1</v>
      </c>
      <c r="F11" s="20">
        <f>ROUNDDOWN(Questionnaire!G31,0)</f>
        <v>1</v>
      </c>
      <c r="G11" s="20">
        <f>ROUNDDOWN(Questionnaire!H31,0)</f>
        <v>1</v>
      </c>
      <c r="H11" s="20">
        <f>ROUNDDOWN(Questionnaire!I31,0)</f>
        <v>1</v>
      </c>
      <c r="I11" s="20">
        <f>ROUNDDOWN(Questionnaire!J31,0)</f>
        <v>1</v>
      </c>
      <c r="J11" s="20">
        <f>ROUNDDOWN(Questionnaire!K31,0)</f>
        <v>1</v>
      </c>
      <c r="K11" s="20">
        <f>ROUNDDOWN(Questionnaire!L31,0)</f>
        <v>1</v>
      </c>
      <c r="L11" s="20">
        <f>ROUNDDOWN(Questionnaire!M31,0)</f>
        <v>1</v>
      </c>
      <c r="M11" s="20">
        <f>ROUNDDOWN(Questionnaire!N31,0)</f>
        <v>1</v>
      </c>
    </row>
    <row r="12" spans="1:13" ht="30" customHeight="1" x14ac:dyDescent="0.35">
      <c r="A12" s="21" t="s">
        <v>55</v>
      </c>
      <c r="B12" s="20">
        <f>ROUNDDOWN(Questionnaire!C43,0)</f>
        <v>1</v>
      </c>
      <c r="C12" s="20">
        <f>ROUNDDOWN(Questionnaire!D43,0)</f>
        <v>1</v>
      </c>
      <c r="D12" s="20">
        <f>ROUNDDOWN(Questionnaire!E43,0)</f>
        <v>1</v>
      </c>
      <c r="E12" s="20">
        <f>ROUNDDOWN(Questionnaire!F43,0)</f>
        <v>1</v>
      </c>
      <c r="F12" s="20">
        <f>ROUNDDOWN(Questionnaire!G43,0)</f>
        <v>1</v>
      </c>
      <c r="G12" s="20">
        <f>ROUNDDOWN(Questionnaire!H43,0)</f>
        <v>1</v>
      </c>
      <c r="H12" s="20">
        <f>ROUNDDOWN(Questionnaire!I43,0)</f>
        <v>1</v>
      </c>
      <c r="I12" s="20">
        <f>ROUNDDOWN(Questionnaire!J43,0)</f>
        <v>1</v>
      </c>
      <c r="J12" s="20">
        <f>ROUNDDOWN(Questionnaire!K43,0)</f>
        <v>1</v>
      </c>
      <c r="K12" s="20">
        <f>ROUNDDOWN(Questionnaire!L43,0)</f>
        <v>1</v>
      </c>
      <c r="L12" s="20">
        <f>ROUNDDOWN(Questionnaire!M43,0)</f>
        <v>1</v>
      </c>
      <c r="M12" s="20">
        <f>ROUNDDOWN(Questionnaire!N43,0)</f>
        <v>1</v>
      </c>
    </row>
    <row r="14" spans="1:13" ht="30" customHeight="1" x14ac:dyDescent="0.35">
      <c r="A14" s="2" t="s">
        <v>58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5">
      <c r="B15" s="19" t="str">
        <f ca="1">INDEX(TimePeriods,0,1)</f>
        <v>1 hr</v>
      </c>
      <c r="C15" s="19" t="str">
        <f ca="1">INDEX(TimePeriods,0,2)</f>
        <v>4 hrs</v>
      </c>
      <c r="D15" s="19" t="str">
        <f ca="1">INDEX(TimePeriods,0,3)</f>
        <v>8 hrs</v>
      </c>
      <c r="E15" s="19" t="str">
        <f ca="1">INDEX(TimePeriods,0,4)</f>
        <v>1 day</v>
      </c>
      <c r="F15" s="19" t="str">
        <f ca="1">INDEX(TimePeriods,0,5)</f>
        <v>2 days</v>
      </c>
      <c r="G15" s="19" t="str">
        <f ca="1">INDEX(TimePeriods,0,6)</f>
        <v>3 days</v>
      </c>
      <c r="H15" s="19" t="str">
        <f ca="1">INDEX(TimePeriods,0,7)</f>
        <v>1 wk</v>
      </c>
      <c r="I15" s="19" t="str">
        <f ca="1">INDEX(TimePeriods,0,8)</f>
        <v>2 wks</v>
      </c>
      <c r="J15" s="19" t="str">
        <f ca="1">INDEX(TimePeriods,0,9)</f>
        <v>3 wks</v>
      </c>
      <c r="K15" s="19" t="str">
        <f ca="1">INDEX(TimePeriods,0,10)</f>
        <v>1 mth</v>
      </c>
      <c r="L15" s="19" t="str">
        <f ca="1">INDEX(TimePeriods,0,11)</f>
        <v>2 mths</v>
      </c>
      <c r="M15" s="19" t="str">
        <f ca="1">INDEX(TimePeriods,0,12)</f>
        <v>3 mths</v>
      </c>
    </row>
    <row r="16" spans="1:13" ht="30" customHeight="1" x14ac:dyDescent="0.35">
      <c r="A16" s="21" t="s">
        <v>51</v>
      </c>
      <c r="B16" s="29" t="str">
        <f>VLOOKUP(ROUNDDOWN(Questionnaire!C7,0),·!$BI$3:$BJ$12,2,FALSE)</f>
        <v>None</v>
      </c>
      <c r="C16" s="29" t="str">
        <f>VLOOKUP(ROUNDDOWN(Questionnaire!D7,0),·!$BI$3:$BJ$12,2,FALSE)</f>
        <v>None</v>
      </c>
      <c r="D16" s="29" t="str">
        <f>VLOOKUP(ROUNDDOWN(Questionnaire!E7,0),·!$BI$3:$BJ$12,2,FALSE)</f>
        <v>None</v>
      </c>
      <c r="E16" s="29" t="str">
        <f>VLOOKUP(ROUNDDOWN(Questionnaire!F7,0),·!$BI$3:$BJ$12,2,FALSE)</f>
        <v>None</v>
      </c>
      <c r="F16" s="29" t="str">
        <f>VLOOKUP(ROUNDDOWN(Questionnaire!G7,0),·!$BI$3:$BJ$12,2,FALSE)</f>
        <v>None</v>
      </c>
      <c r="G16" s="29" t="str">
        <f>VLOOKUP(ROUNDDOWN(Questionnaire!H7,0),·!$BI$3:$BJ$12,2,FALSE)</f>
        <v>None</v>
      </c>
      <c r="H16" s="29" t="str">
        <f>VLOOKUP(ROUNDDOWN(Questionnaire!I7,0),·!$BI$3:$BJ$12,2,FALSE)</f>
        <v>None</v>
      </c>
      <c r="I16" s="29" t="str">
        <f>VLOOKUP(ROUNDDOWN(Questionnaire!J7,0),·!$BI$3:$BJ$12,2,FALSE)</f>
        <v>None</v>
      </c>
      <c r="J16" s="29" t="str">
        <f>VLOOKUP(ROUNDDOWN(Questionnaire!K7,0),·!$BI$3:$BJ$12,2,FALSE)</f>
        <v>None</v>
      </c>
      <c r="K16" s="29" t="str">
        <f>VLOOKUP(ROUNDDOWN(Questionnaire!L7,0),·!$BI$3:$BJ$12,2,FALSE)</f>
        <v>None</v>
      </c>
      <c r="L16" s="29" t="str">
        <f>VLOOKUP(ROUNDDOWN(Questionnaire!M7,0),·!$BI$3:$BJ$12,2,FALSE)</f>
        <v>None</v>
      </c>
      <c r="M16" s="29" t="str">
        <f>VLOOKUP(ROUNDDOWN(Questionnaire!N7,0),·!$BI$3:$BJ$12,2,FALSE)</f>
        <v>None</v>
      </c>
    </row>
    <row r="17" spans="1:13" ht="30" customHeight="1" x14ac:dyDescent="0.35">
      <c r="A17" s="21" t="s">
        <v>52</v>
      </c>
      <c r="B17" s="29" t="str">
        <f>VLOOKUP(ROUNDDOWN(Questionnaire!C19,0),·!$BI$3:$BJ$12,2,FALSE)</f>
        <v>None</v>
      </c>
      <c r="C17" s="29" t="str">
        <f>VLOOKUP(ROUNDDOWN(Questionnaire!D19,0),·!$BI$3:$BJ$12,2,FALSE)</f>
        <v>None</v>
      </c>
      <c r="D17" s="29" t="str">
        <f>VLOOKUP(ROUNDDOWN(Questionnaire!E19,0),·!$BI$3:$BJ$12,2,FALSE)</f>
        <v>None</v>
      </c>
      <c r="E17" s="29" t="str">
        <f>VLOOKUP(ROUNDDOWN(Questionnaire!F19,0),·!$BI$3:$BJ$12,2,FALSE)</f>
        <v>None</v>
      </c>
      <c r="F17" s="29" t="str">
        <f>VLOOKUP(ROUNDDOWN(Questionnaire!G19,0),·!$BI$3:$BJ$12,2,FALSE)</f>
        <v>None</v>
      </c>
      <c r="G17" s="29" t="str">
        <f>VLOOKUP(ROUNDDOWN(Questionnaire!H19,0),·!$BI$3:$BJ$12,2,FALSE)</f>
        <v>None</v>
      </c>
      <c r="H17" s="29" t="str">
        <f>VLOOKUP(ROUNDDOWN(Questionnaire!I19,0),·!$BI$3:$BJ$12,2,FALSE)</f>
        <v>None</v>
      </c>
      <c r="I17" s="29" t="str">
        <f>VLOOKUP(ROUNDDOWN(Questionnaire!J19,0),·!$BI$3:$BJ$12,2,FALSE)</f>
        <v>None</v>
      </c>
      <c r="J17" s="29" t="str">
        <f>VLOOKUP(ROUNDDOWN(Questionnaire!K19,0),·!$BI$3:$BJ$12,2,FALSE)</f>
        <v>None</v>
      </c>
      <c r="K17" s="29" t="str">
        <f>VLOOKUP(ROUNDDOWN(Questionnaire!L19,0),·!$BI$3:$BJ$12,2,FALSE)</f>
        <v>None</v>
      </c>
      <c r="L17" s="29" t="str">
        <f>VLOOKUP(ROUNDDOWN(Questionnaire!M19,0),·!$BI$3:$BJ$12,2,FALSE)</f>
        <v>None</v>
      </c>
      <c r="M17" s="29" t="str">
        <f>VLOOKUP(ROUNDDOWN(Questionnaire!N19,0),·!$BI$3:$BJ$12,2,FALSE)</f>
        <v>None</v>
      </c>
    </row>
    <row r="18" spans="1:13" ht="30" customHeight="1" x14ac:dyDescent="0.35">
      <c r="A18" s="21" t="s">
        <v>53</v>
      </c>
      <c r="B18" s="29" t="str">
        <f>VLOOKUP(ROUNDDOWN(Questionnaire!C31,0),·!$BI$3:$BJ$12,2,FALSE)</f>
        <v>None</v>
      </c>
      <c r="C18" s="29" t="str">
        <f>VLOOKUP(ROUNDDOWN(Questionnaire!D31,0),·!$BI$3:$BJ$12,2,FALSE)</f>
        <v>None</v>
      </c>
      <c r="D18" s="29" t="str">
        <f>VLOOKUP(ROUNDDOWN(Questionnaire!E31,0),·!$BI$3:$BJ$12,2,FALSE)</f>
        <v>None</v>
      </c>
      <c r="E18" s="29" t="str">
        <f>VLOOKUP(ROUNDDOWN(Questionnaire!F31,0),·!$BI$3:$BJ$12,2,FALSE)</f>
        <v>None</v>
      </c>
      <c r="F18" s="29" t="str">
        <f>VLOOKUP(ROUNDDOWN(Questionnaire!G31,0),·!$BI$3:$BJ$12,2,FALSE)</f>
        <v>None</v>
      </c>
      <c r="G18" s="29" t="str">
        <f>VLOOKUP(ROUNDDOWN(Questionnaire!H31,0),·!$BI$3:$BJ$12,2,FALSE)</f>
        <v>None</v>
      </c>
      <c r="H18" s="29" t="str">
        <f>VLOOKUP(ROUNDDOWN(Questionnaire!I31,0),·!$BI$3:$BJ$12,2,FALSE)</f>
        <v>None</v>
      </c>
      <c r="I18" s="29" t="str">
        <f>VLOOKUP(ROUNDDOWN(Questionnaire!J31,0),·!$BI$3:$BJ$12,2,FALSE)</f>
        <v>None</v>
      </c>
      <c r="J18" s="29" t="str">
        <f>VLOOKUP(ROUNDDOWN(Questionnaire!K31,0),·!$BI$3:$BJ$12,2,FALSE)</f>
        <v>None</v>
      </c>
      <c r="K18" s="29" t="str">
        <f>VLOOKUP(ROUNDDOWN(Questionnaire!L31,0),·!$BI$3:$BJ$12,2,FALSE)</f>
        <v>None</v>
      </c>
      <c r="L18" s="29" t="str">
        <f>VLOOKUP(ROUNDDOWN(Questionnaire!M31,0),·!$BI$3:$BJ$12,2,FALSE)</f>
        <v>None</v>
      </c>
      <c r="M18" s="29" t="str">
        <f>VLOOKUP(ROUNDDOWN(Questionnaire!N31,0),·!$BI$3:$BJ$12,2,FALSE)</f>
        <v>None</v>
      </c>
    </row>
    <row r="19" spans="1:13" ht="30" customHeight="1" x14ac:dyDescent="0.35">
      <c r="A19" s="21" t="s">
        <v>55</v>
      </c>
      <c r="B19" s="29" t="str">
        <f>VLOOKUP(ROUNDDOWN(Questionnaire!C43,0),·!$BI$3:$BJ$12,2,FALSE)</f>
        <v>None</v>
      </c>
      <c r="C19" s="29" t="str">
        <f>VLOOKUP(ROUNDDOWN(Questionnaire!D43,0),·!$BI$3:$BJ$12,2,FALSE)</f>
        <v>None</v>
      </c>
      <c r="D19" s="29" t="str">
        <f>VLOOKUP(ROUNDDOWN(Questionnaire!E43,0),·!$BI$3:$BJ$12,2,FALSE)</f>
        <v>None</v>
      </c>
      <c r="E19" s="29" t="str">
        <f>VLOOKUP(ROUNDDOWN(Questionnaire!F43,0),·!$BI$3:$BJ$12,2,FALSE)</f>
        <v>None</v>
      </c>
      <c r="F19" s="29" t="str">
        <f>VLOOKUP(ROUNDDOWN(Questionnaire!G43,0),·!$BI$3:$BJ$12,2,FALSE)</f>
        <v>None</v>
      </c>
      <c r="G19" s="29" t="str">
        <f>VLOOKUP(ROUNDDOWN(Questionnaire!H43,0),·!$BI$3:$BJ$12,2,FALSE)</f>
        <v>None</v>
      </c>
      <c r="H19" s="29" t="str">
        <f>VLOOKUP(ROUNDDOWN(Questionnaire!I43,0),·!$BI$3:$BJ$12,2,FALSE)</f>
        <v>None</v>
      </c>
      <c r="I19" s="29" t="str">
        <f>VLOOKUP(ROUNDDOWN(Questionnaire!J43,0),·!$BI$3:$BJ$12,2,FALSE)</f>
        <v>None</v>
      </c>
      <c r="J19" s="29" t="str">
        <f>VLOOKUP(ROUNDDOWN(Questionnaire!K43,0),·!$BI$3:$BJ$12,2,FALSE)</f>
        <v>None</v>
      </c>
      <c r="K19" s="29" t="str">
        <f>VLOOKUP(ROUNDDOWN(Questionnaire!L43,0),·!$BI$3:$BJ$12,2,FALSE)</f>
        <v>None</v>
      </c>
      <c r="L19" s="29" t="str">
        <f>VLOOKUP(ROUNDDOWN(Questionnaire!M43,0),·!$BI$3:$BJ$12,2,FALSE)</f>
        <v>None</v>
      </c>
      <c r="M19" s="29" t="str">
        <f>VLOOKUP(ROUNDDOWN(Questionnaire!N43,0),·!$BI$3:$BJ$12,2,FALSE)</f>
        <v>None</v>
      </c>
    </row>
    <row r="20" spans="1:13" ht="8.15" customHeight="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30" customHeight="1" x14ac:dyDescent="0.35">
      <c r="A21" s="21" t="s">
        <v>65</v>
      </c>
      <c r="B21" s="29" t="str">
        <f>VLOOKUP(ROUNDDOWN(MAX(B9:B12),0),·!$BI$3:$BJ$12,2,FALSE)</f>
        <v>None</v>
      </c>
      <c r="C21" s="29" t="str">
        <f>VLOOKUP(ROUNDDOWN(MAX(C9:C12),0),·!$BI$3:$BJ$12,2,FALSE)</f>
        <v>None</v>
      </c>
      <c r="D21" s="29" t="str">
        <f>VLOOKUP(ROUNDDOWN(MAX(D9:D12),0),·!$BI$3:$BJ$12,2,FALSE)</f>
        <v>None</v>
      </c>
      <c r="E21" s="29" t="str">
        <f>VLOOKUP(ROUNDDOWN(MAX(E9:E12),0),·!$BI$3:$BJ$12,2,FALSE)</f>
        <v>None</v>
      </c>
      <c r="F21" s="29" t="str">
        <f>VLOOKUP(ROUNDDOWN(MAX(F9:F12),0),·!$BI$3:$BJ$12,2,FALSE)</f>
        <v>None</v>
      </c>
      <c r="G21" s="29" t="str">
        <f>VLOOKUP(ROUNDDOWN(MAX(G9:G12),0),·!$BI$3:$BJ$12,2,FALSE)</f>
        <v>None</v>
      </c>
      <c r="H21" s="29" t="str">
        <f>VLOOKUP(ROUNDDOWN(MAX(H9:H12),0),·!$BI$3:$BJ$12,2,FALSE)</f>
        <v>None</v>
      </c>
      <c r="I21" s="29" t="str">
        <f>VLOOKUP(ROUNDDOWN(MAX(I9:I12),0),·!$BI$3:$BJ$12,2,FALSE)</f>
        <v>None</v>
      </c>
      <c r="J21" s="29" t="str">
        <f>VLOOKUP(ROUNDDOWN(MAX(J9:J12),0),·!$BI$3:$BJ$12,2,FALSE)</f>
        <v>None</v>
      </c>
      <c r="K21" s="29" t="str">
        <f>VLOOKUP(ROUNDDOWN(MAX(K9:K12),0),·!$BI$3:$BJ$12,2,FALSE)</f>
        <v>None</v>
      </c>
      <c r="L21" s="29" t="str">
        <f>VLOOKUP(ROUNDDOWN(MAX(L9:L12),0),·!$BI$3:$BJ$12,2,FALSE)</f>
        <v>None</v>
      </c>
      <c r="M21" s="29" t="str">
        <f>VLOOKUP(ROUNDDOWN(MAX(M9:M12),0),·!$BI$3:$BJ$12,2,FALSE)</f>
        <v>None</v>
      </c>
    </row>
  </sheetData>
  <mergeCells count="6">
    <mergeCell ref="A3:C3"/>
    <mergeCell ref="A4:C5"/>
    <mergeCell ref="E3:H3"/>
    <mergeCell ref="J3:M3"/>
    <mergeCell ref="E4:H5"/>
    <mergeCell ref="J4:M5"/>
  </mergeCells>
  <conditionalFormatting sqref="B9:M9">
    <cfRule type="colorScale" priority="18">
      <colorScale>
        <cfvo type="num" val="1"/>
        <cfvo type="num" val="10"/>
        <color theme="0"/>
        <color theme="6"/>
      </colorScale>
    </cfRule>
  </conditionalFormatting>
  <conditionalFormatting sqref="B10:M10">
    <cfRule type="colorScale" priority="17">
      <colorScale>
        <cfvo type="num" val="1"/>
        <cfvo type="num" val="10"/>
        <color theme="0"/>
        <color theme="6"/>
      </colorScale>
    </cfRule>
  </conditionalFormatting>
  <conditionalFormatting sqref="B11:M11">
    <cfRule type="colorScale" priority="16">
      <colorScale>
        <cfvo type="num" val="1"/>
        <cfvo type="num" val="10"/>
        <color theme="0"/>
        <color theme="6"/>
      </colorScale>
    </cfRule>
  </conditionalFormatting>
  <conditionalFormatting sqref="B12:M12">
    <cfRule type="colorScale" priority="15">
      <colorScale>
        <cfvo type="num" val="1"/>
        <cfvo type="num" val="10"/>
        <color theme="0"/>
        <color theme="6"/>
      </colorScale>
    </cfRule>
  </conditionalFormatting>
  <conditionalFormatting sqref="B9:M12">
    <cfRule type="cellIs" dxfId="37" priority="1" operator="greaterThanOrEqual">
      <formula>7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portrait" horizontalDpi="0" verticalDpi="0" r:id="rId1"/>
  <headerFooter scaleWithDoc="0">
    <oddFooter>&amp;L&amp;9&amp;G www.erickendrick.com&amp;R&amp;9&amp;K06+000This work is licensed under a Creative Commons Attribution-NoDerivatives 4.0 International License.
&amp;K000000Copyright © 2019 Eric Kendrick.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2" id="{00000000-000E-0000-0100-00001F000000}">
            <xm:f>EXACT(·!B28,"VH")</xm:f>
            <x14:dxf>
              <font>
                <color theme="0"/>
              </font>
              <fill>
                <patternFill>
                  <bgColor theme="6"/>
                </patternFill>
              </fill>
            </x14:dxf>
          </x14:cfRule>
          <x14:cfRule type="expression" priority="83" id="{00000000-000E-0000-0100-000020000000}">
            <xm:f>EXACT(·!B28,"H")</xm:f>
            <x14:dxf>
              <fill>
                <patternFill>
                  <bgColor rgb="FFF1B9D0"/>
                </patternFill>
              </fill>
            </x14:dxf>
          </x14:cfRule>
          <x14:cfRule type="expression" priority="84" id="{00000000-000E-0000-0100-000021000000}">
            <xm:f>EXACT(·!B28,"M")</xm:f>
            <x14:dxf>
              <fill>
                <patternFill>
                  <bgColor rgb="FFFCF2F6"/>
                </patternFill>
              </fill>
            </x14:dxf>
          </x14:cfRule>
          <x14:cfRule type="expression" priority="85" id="{00000000-000E-0000-0100-000022000000}">
            <xm:f>EXACT(·!B28,"L")</xm:f>
            <x14:dxf>
              <fill>
                <patternFill>
                  <bgColor theme="0"/>
                </patternFill>
              </fill>
            </x14:dxf>
          </x14:cfRule>
          <xm:sqref>B16:M16</xm:sqref>
        </x14:conditionalFormatting>
        <x14:conditionalFormatting xmlns:xm="http://schemas.microsoft.com/office/excel/2006/main">
          <x14:cfRule type="expression" priority="90" id="{00000000-000E-0000-0100-00001F000000}">
            <xm:f>EXACT(·!Q28,"VH")</xm:f>
            <x14:dxf>
              <font>
                <color theme="0"/>
              </font>
              <fill>
                <patternFill>
                  <bgColor theme="6"/>
                </patternFill>
              </fill>
            </x14:dxf>
          </x14:cfRule>
          <x14:cfRule type="expression" priority="91" id="{00000000-000E-0000-0100-000020000000}">
            <xm:f>EXACT(·!Q28,"H")</xm:f>
            <x14:dxf>
              <fill>
                <patternFill>
                  <bgColor rgb="FFF1B9D0"/>
                </patternFill>
              </fill>
            </x14:dxf>
          </x14:cfRule>
          <x14:cfRule type="expression" priority="92" id="{00000000-000E-0000-0100-000021000000}">
            <xm:f>EXACT(·!Q28,"M")</xm:f>
            <x14:dxf>
              <fill>
                <patternFill>
                  <bgColor rgb="FFFCF2F6"/>
                </patternFill>
              </fill>
            </x14:dxf>
          </x14:cfRule>
          <x14:cfRule type="expression" priority="93" id="{00000000-000E-0000-0100-000022000000}">
            <xm:f>EXACT(·!Q28,"L")</xm:f>
            <x14:dxf>
              <fill>
                <patternFill>
                  <bgColor theme="0"/>
                </patternFill>
              </fill>
            </x14:dxf>
          </x14:cfRule>
          <xm:sqref>B17:M17</xm:sqref>
        </x14:conditionalFormatting>
        <x14:conditionalFormatting xmlns:xm="http://schemas.microsoft.com/office/excel/2006/main">
          <x14:cfRule type="expression" priority="98" id="{00000000-000E-0000-0100-00001F000000}">
            <xm:f>EXACT(·!AF28,"VH")</xm:f>
            <x14:dxf>
              <font>
                <color theme="0"/>
              </font>
              <fill>
                <patternFill>
                  <bgColor theme="6"/>
                </patternFill>
              </fill>
            </x14:dxf>
          </x14:cfRule>
          <x14:cfRule type="expression" priority="99" id="{00000000-000E-0000-0100-000020000000}">
            <xm:f>EXACT(·!AF28,"H")</xm:f>
            <x14:dxf>
              <fill>
                <patternFill>
                  <bgColor rgb="FFF1B9D0"/>
                </patternFill>
              </fill>
            </x14:dxf>
          </x14:cfRule>
          <x14:cfRule type="expression" priority="100" id="{00000000-000E-0000-0100-000021000000}">
            <xm:f>EXACT(·!AF28,"M")</xm:f>
            <x14:dxf>
              <fill>
                <patternFill>
                  <bgColor rgb="FFFCF2F6"/>
                </patternFill>
              </fill>
            </x14:dxf>
          </x14:cfRule>
          <x14:cfRule type="expression" priority="101" id="{00000000-000E-0000-0100-000022000000}">
            <xm:f>EXACT(·!AF28,"L")</xm:f>
            <x14:dxf>
              <fill>
                <patternFill>
                  <bgColor theme="0"/>
                </patternFill>
              </fill>
            </x14:dxf>
          </x14:cfRule>
          <xm:sqref>B18:M18</xm:sqref>
        </x14:conditionalFormatting>
        <x14:conditionalFormatting xmlns:xm="http://schemas.microsoft.com/office/excel/2006/main">
          <x14:cfRule type="expression" priority="102" id="{00000000-000E-0000-0100-00001F000000}">
            <xm:f>EXACT(·!AU28,"VH")</xm:f>
            <x14:dxf>
              <font>
                <color theme="0"/>
              </font>
              <fill>
                <patternFill>
                  <bgColor theme="6"/>
                </patternFill>
              </fill>
            </x14:dxf>
          </x14:cfRule>
          <x14:cfRule type="expression" priority="103" id="{00000000-000E-0000-0100-000020000000}">
            <xm:f>EXACT(·!AU28,"H")</xm:f>
            <x14:dxf>
              <fill>
                <patternFill>
                  <bgColor rgb="FFF1B9D0"/>
                </patternFill>
              </fill>
            </x14:dxf>
          </x14:cfRule>
          <x14:cfRule type="expression" priority="104" id="{00000000-000E-0000-0100-000021000000}">
            <xm:f>EXACT(·!AU28,"M")</xm:f>
            <x14:dxf>
              <fill>
                <patternFill>
                  <bgColor rgb="FFFCF2F6"/>
                </patternFill>
              </fill>
            </x14:dxf>
          </x14:cfRule>
          <x14:cfRule type="expression" priority="105" id="{00000000-000E-0000-0100-000022000000}">
            <xm:f>EXACT(·!AU28,"L")</xm:f>
            <x14:dxf>
              <fill>
                <patternFill>
                  <bgColor theme="0"/>
                </patternFill>
              </fill>
            </x14:dxf>
          </x14:cfRule>
          <xm:sqref>B19:M19</xm:sqref>
        </x14:conditionalFormatting>
        <x14:conditionalFormatting xmlns:xm="http://schemas.microsoft.com/office/excel/2006/main">
          <x14:cfRule type="expression" priority="106" id="{00000000-000E-0000-0100-00001F000000}">
            <xm:f>EXACT(·!#REF!,"VH")</xm:f>
            <x14:dxf>
              <font>
                <color theme="0"/>
              </font>
              <fill>
                <patternFill>
                  <bgColor theme="6"/>
                </patternFill>
              </fill>
            </x14:dxf>
          </x14:cfRule>
          <x14:cfRule type="expression" priority="107" id="{00000000-000E-0000-0100-000020000000}">
            <xm:f>EXACT(·!#REF!,"H")</xm:f>
            <x14:dxf>
              <fill>
                <patternFill>
                  <bgColor rgb="FFF1B9D0"/>
                </patternFill>
              </fill>
            </x14:dxf>
          </x14:cfRule>
          <x14:cfRule type="expression" priority="108" id="{00000000-000E-0000-0100-000021000000}">
            <xm:f>EXACT(·!#REF!,"M")</xm:f>
            <x14:dxf>
              <fill>
                <patternFill>
                  <bgColor rgb="FFFCF2F6"/>
                </patternFill>
              </fill>
            </x14:dxf>
          </x14:cfRule>
          <x14:cfRule type="expression" priority="109" id="{00000000-000E-0000-0100-000022000000}">
            <xm:f>EXACT(·!#REF!,"L")</xm:f>
            <x14:dxf>
              <fill>
                <patternFill>
                  <bgColor theme="0"/>
                </patternFill>
              </fill>
            </x14:dxf>
          </x14:cfRule>
          <xm:sqref>B21:M21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92E13-63F7-41C9-BE0E-AA2BB56688B2}">
  <sheetPr>
    <tabColor theme="1" tint="0.249977111117893"/>
    <pageSetUpPr fitToPage="1"/>
  </sheetPr>
  <dimension ref="A1:AF42"/>
  <sheetViews>
    <sheetView showGridLines="0" zoomScaleNormal="100" workbookViewId="0">
      <selection activeCell="AN24" sqref="AN24"/>
    </sheetView>
  </sheetViews>
  <sheetFormatPr defaultColWidth="8.7265625" defaultRowHeight="14.5" x14ac:dyDescent="0.35"/>
  <cols>
    <col min="1" max="1" width="4.54296875" style="44" customWidth="1"/>
    <col min="2" max="2" width="32.1796875" style="44" customWidth="1"/>
    <col min="3" max="14" width="4.453125" style="44" customWidth="1"/>
    <col min="15" max="15" width="2.1796875" style="44" customWidth="1"/>
    <col min="16" max="16" width="4.54296875" style="44" customWidth="1"/>
    <col min="17" max="17" width="32.1796875" style="44" customWidth="1"/>
    <col min="18" max="29" width="4.453125" style="44" customWidth="1"/>
    <col min="30" max="30" width="4.1796875" style="44" customWidth="1"/>
    <col min="31" max="31" width="5.1796875" style="44" customWidth="1"/>
    <col min="32" max="33" width="7.26953125" style="44" customWidth="1"/>
    <col min="34" max="16384" width="8.7265625" style="44"/>
  </cols>
  <sheetData>
    <row r="1" spans="1:32" s="39" customFormat="1" ht="18.5" x14ac:dyDescent="0.4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30" customHeight="1" x14ac:dyDescent="0.35">
      <c r="A2" s="43" t="s">
        <v>83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P2" s="43" t="s">
        <v>86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32" x14ac:dyDescent="0.35">
      <c r="A3" s="45" t="s">
        <v>78</v>
      </c>
      <c r="B3" s="46" t="s">
        <v>84</v>
      </c>
      <c r="C3" s="31" t="str">
        <f ca="1">INDEX(TimePeriods,0,1)</f>
        <v>1 hr</v>
      </c>
      <c r="D3" s="32" t="str">
        <f ca="1">INDEX(TimePeriods,0,2)</f>
        <v>4 hrs</v>
      </c>
      <c r="E3" s="33" t="str">
        <f ca="1">INDEX(TimePeriods,0,3)</f>
        <v>8 hrs</v>
      </c>
      <c r="F3" s="31" t="str">
        <f ca="1">INDEX(TimePeriods,0,4)</f>
        <v>1 day</v>
      </c>
      <c r="G3" s="32" t="str">
        <f ca="1">INDEX(TimePeriods,0,5)</f>
        <v>2 days</v>
      </c>
      <c r="H3" s="33" t="str">
        <f ca="1">INDEX(TimePeriods,0,6)</f>
        <v>3 days</v>
      </c>
      <c r="I3" s="31" t="str">
        <f ca="1">INDEX(TimePeriods,0,7)</f>
        <v>1 wk</v>
      </c>
      <c r="J3" s="32" t="str">
        <f ca="1">INDEX(TimePeriods,0,8)</f>
        <v>2 wks</v>
      </c>
      <c r="K3" s="33" t="str">
        <f ca="1">INDEX(TimePeriods,0,9)</f>
        <v>3 wks</v>
      </c>
      <c r="L3" s="31" t="str">
        <f ca="1">INDEX(TimePeriods,0,10)</f>
        <v>1 mth</v>
      </c>
      <c r="M3" s="32" t="str">
        <f ca="1">INDEX(TimePeriods,0,11)</f>
        <v>2 mths</v>
      </c>
      <c r="N3" s="33" t="str">
        <f ca="1">INDEX(TimePeriods,0,12)</f>
        <v>3 mths</v>
      </c>
      <c r="P3" s="47" t="s">
        <v>78</v>
      </c>
      <c r="Q3" s="48" t="s">
        <v>84</v>
      </c>
      <c r="R3" s="31" t="str">
        <f ca="1">INDEX(TimePeriods,0,1)</f>
        <v>1 hr</v>
      </c>
      <c r="S3" s="32" t="str">
        <f ca="1">INDEX(TimePeriods,0,2)</f>
        <v>4 hrs</v>
      </c>
      <c r="T3" s="33" t="str">
        <f ca="1">INDEX(TimePeriods,0,3)</f>
        <v>8 hrs</v>
      </c>
      <c r="U3" s="31" t="str">
        <f ca="1">INDEX(TimePeriods,0,4)</f>
        <v>1 day</v>
      </c>
      <c r="V3" s="32" t="str">
        <f ca="1">INDEX(TimePeriods,0,5)</f>
        <v>2 days</v>
      </c>
      <c r="W3" s="33" t="str">
        <f ca="1">INDEX(TimePeriods,0,6)</f>
        <v>3 days</v>
      </c>
      <c r="X3" s="31" t="str">
        <f ca="1">INDEX(TimePeriods,0,7)</f>
        <v>1 wk</v>
      </c>
      <c r="Y3" s="32" t="str">
        <f ca="1">INDEX(TimePeriods,0,8)</f>
        <v>2 wks</v>
      </c>
      <c r="Z3" s="33" t="str">
        <f ca="1">INDEX(TimePeriods,0,9)</f>
        <v>3 wks</v>
      </c>
      <c r="AA3" s="31" t="str">
        <f ca="1">INDEX(TimePeriods,0,10)</f>
        <v>1 mth</v>
      </c>
      <c r="AB3" s="32" t="str">
        <f ca="1">INDEX(TimePeriods,0,11)</f>
        <v>2 mths</v>
      </c>
      <c r="AC3" s="33" t="str">
        <f ca="1">INDEX(TimePeriods,0,12)</f>
        <v>3 mths</v>
      </c>
    </row>
    <row r="4" spans="1:32" ht="24.65" customHeight="1" x14ac:dyDescent="0.35">
      <c r="A4" s="34">
        <v>10</v>
      </c>
      <c r="B4" s="59" t="s">
        <v>144</v>
      </c>
      <c r="C4" s="49" t="s">
        <v>25</v>
      </c>
      <c r="D4" s="50" t="s">
        <v>25</v>
      </c>
      <c r="E4" s="51" t="s">
        <v>25</v>
      </c>
      <c r="F4" s="49" t="s">
        <v>25</v>
      </c>
      <c r="G4" s="50" t="s">
        <v>25</v>
      </c>
      <c r="H4" s="51" t="s">
        <v>25</v>
      </c>
      <c r="I4" s="49" t="s">
        <v>25</v>
      </c>
      <c r="J4" s="50" t="s">
        <v>25</v>
      </c>
      <c r="K4" s="51" t="s">
        <v>26</v>
      </c>
      <c r="L4" s="49" t="s">
        <v>26</v>
      </c>
      <c r="M4" s="50" t="s">
        <v>26</v>
      </c>
      <c r="N4" s="51" t="s">
        <v>26</v>
      </c>
      <c r="P4" s="30">
        <v>10</v>
      </c>
      <c r="Q4" s="58" t="s">
        <v>33</v>
      </c>
      <c r="R4" s="52" t="s">
        <v>25</v>
      </c>
      <c r="S4" s="53" t="s">
        <v>25</v>
      </c>
      <c r="T4" s="54" t="s">
        <v>25</v>
      </c>
      <c r="U4" s="52" t="s">
        <v>25</v>
      </c>
      <c r="V4" s="53" t="s">
        <v>25</v>
      </c>
      <c r="W4" s="54" t="s">
        <v>25</v>
      </c>
      <c r="X4" s="52" t="s">
        <v>25</v>
      </c>
      <c r="Y4" s="53" t="s">
        <v>25</v>
      </c>
      <c r="Z4" s="54" t="s">
        <v>25</v>
      </c>
      <c r="AA4" s="52" t="s">
        <v>25</v>
      </c>
      <c r="AB4" s="53" t="s">
        <v>25</v>
      </c>
      <c r="AC4" s="54" t="s">
        <v>25</v>
      </c>
    </row>
    <row r="5" spans="1:32" ht="24.65" customHeight="1" x14ac:dyDescent="0.35">
      <c r="A5" s="35">
        <v>9</v>
      </c>
      <c r="B5" s="60" t="s">
        <v>143</v>
      </c>
      <c r="C5" s="55" t="s">
        <v>25</v>
      </c>
      <c r="D5" s="56" t="s">
        <v>25</v>
      </c>
      <c r="E5" s="57" t="s">
        <v>25</v>
      </c>
      <c r="F5" s="55" t="s">
        <v>25</v>
      </c>
      <c r="G5" s="56" t="s">
        <v>25</v>
      </c>
      <c r="H5" s="57" t="s">
        <v>25</v>
      </c>
      <c r="I5" s="55" t="s">
        <v>26</v>
      </c>
      <c r="J5" s="56" t="s">
        <v>26</v>
      </c>
      <c r="K5" s="57" t="s">
        <v>26</v>
      </c>
      <c r="L5" s="55" t="s">
        <v>26</v>
      </c>
      <c r="M5" s="56" t="s">
        <v>26</v>
      </c>
      <c r="N5" s="57" t="s">
        <v>26</v>
      </c>
      <c r="P5" s="30">
        <v>9</v>
      </c>
      <c r="Q5" s="58" t="s">
        <v>31</v>
      </c>
      <c r="R5" s="55" t="s">
        <v>25</v>
      </c>
      <c r="S5" s="56" t="s">
        <v>25</v>
      </c>
      <c r="T5" s="57" t="s">
        <v>25</v>
      </c>
      <c r="U5" s="55" t="s">
        <v>25</v>
      </c>
      <c r="V5" s="56" t="s">
        <v>25</v>
      </c>
      <c r="W5" s="57" t="s">
        <v>25</v>
      </c>
      <c r="X5" s="55" t="s">
        <v>25</v>
      </c>
      <c r="Y5" s="56" t="s">
        <v>25</v>
      </c>
      <c r="Z5" s="57" t="s">
        <v>25</v>
      </c>
      <c r="AA5" s="55" t="s">
        <v>25</v>
      </c>
      <c r="AB5" s="56" t="s">
        <v>25</v>
      </c>
      <c r="AC5" s="57" t="s">
        <v>25</v>
      </c>
    </row>
    <row r="6" spans="1:32" ht="24.65" customHeight="1" x14ac:dyDescent="0.35">
      <c r="A6" s="35">
        <v>8</v>
      </c>
      <c r="B6" s="60" t="s">
        <v>18</v>
      </c>
      <c r="C6" s="52" t="s">
        <v>25</v>
      </c>
      <c r="D6" s="53" t="s">
        <v>25</v>
      </c>
      <c r="E6" s="54" t="s">
        <v>25</v>
      </c>
      <c r="F6" s="52" t="s">
        <v>25</v>
      </c>
      <c r="G6" s="53" t="s">
        <v>26</v>
      </c>
      <c r="H6" s="54" t="s">
        <v>26</v>
      </c>
      <c r="I6" s="52" t="s">
        <v>26</v>
      </c>
      <c r="J6" s="53" t="s">
        <v>26</v>
      </c>
      <c r="K6" s="54" t="s">
        <v>26</v>
      </c>
      <c r="L6" s="52" t="s">
        <v>26</v>
      </c>
      <c r="M6" s="53" t="s">
        <v>27</v>
      </c>
      <c r="N6" s="54" t="s">
        <v>27</v>
      </c>
      <c r="P6" s="30">
        <v>8</v>
      </c>
      <c r="Q6" s="58" t="s">
        <v>37</v>
      </c>
      <c r="R6" s="52" t="s">
        <v>26</v>
      </c>
      <c r="S6" s="53" t="s">
        <v>26</v>
      </c>
      <c r="T6" s="54" t="s">
        <v>26</v>
      </c>
      <c r="U6" s="52" t="s">
        <v>26</v>
      </c>
      <c r="V6" s="53" t="s">
        <v>26</v>
      </c>
      <c r="W6" s="54" t="s">
        <v>26</v>
      </c>
      <c r="X6" s="52" t="s">
        <v>26</v>
      </c>
      <c r="Y6" s="53" t="s">
        <v>26</v>
      </c>
      <c r="Z6" s="54" t="s">
        <v>26</v>
      </c>
      <c r="AA6" s="52" t="s">
        <v>26</v>
      </c>
      <c r="AB6" s="53" t="s">
        <v>26</v>
      </c>
      <c r="AC6" s="54" t="s">
        <v>26</v>
      </c>
    </row>
    <row r="7" spans="1:32" ht="24.65" customHeight="1" x14ac:dyDescent="0.35">
      <c r="A7" s="35">
        <v>7</v>
      </c>
      <c r="B7" s="60" t="s">
        <v>17</v>
      </c>
      <c r="C7" s="55" t="s">
        <v>25</v>
      </c>
      <c r="D7" s="56" t="s">
        <v>25</v>
      </c>
      <c r="E7" s="57" t="s">
        <v>26</v>
      </c>
      <c r="F7" s="55" t="s">
        <v>26</v>
      </c>
      <c r="G7" s="56" t="s">
        <v>26</v>
      </c>
      <c r="H7" s="57" t="s">
        <v>26</v>
      </c>
      <c r="I7" s="55" t="s">
        <v>26</v>
      </c>
      <c r="J7" s="56" t="s">
        <v>27</v>
      </c>
      <c r="K7" s="57" t="s">
        <v>27</v>
      </c>
      <c r="L7" s="55" t="s">
        <v>27</v>
      </c>
      <c r="M7" s="56" t="s">
        <v>27</v>
      </c>
      <c r="N7" s="57" t="s">
        <v>27</v>
      </c>
      <c r="P7" s="30">
        <v>7</v>
      </c>
      <c r="Q7" s="58" t="s">
        <v>29</v>
      </c>
      <c r="R7" s="55" t="s">
        <v>26</v>
      </c>
      <c r="S7" s="56" t="s">
        <v>26</v>
      </c>
      <c r="T7" s="57" t="s">
        <v>26</v>
      </c>
      <c r="U7" s="55" t="s">
        <v>26</v>
      </c>
      <c r="V7" s="56" t="s">
        <v>26</v>
      </c>
      <c r="W7" s="57" t="s">
        <v>26</v>
      </c>
      <c r="X7" s="55" t="s">
        <v>26</v>
      </c>
      <c r="Y7" s="56" t="s">
        <v>26</v>
      </c>
      <c r="Z7" s="57" t="s">
        <v>26</v>
      </c>
      <c r="AA7" s="55" t="s">
        <v>26</v>
      </c>
      <c r="AB7" s="56" t="s">
        <v>26</v>
      </c>
      <c r="AC7" s="57" t="s">
        <v>26</v>
      </c>
    </row>
    <row r="8" spans="1:32" ht="24.65" customHeight="1" x14ac:dyDescent="0.35">
      <c r="A8" s="35">
        <v>6</v>
      </c>
      <c r="B8" s="60" t="s">
        <v>15</v>
      </c>
      <c r="C8" s="52" t="s">
        <v>26</v>
      </c>
      <c r="D8" s="53" t="s">
        <v>26</v>
      </c>
      <c r="E8" s="54" t="s">
        <v>26</v>
      </c>
      <c r="F8" s="52" t="s">
        <v>26</v>
      </c>
      <c r="G8" s="53" t="s">
        <v>27</v>
      </c>
      <c r="H8" s="54" t="s">
        <v>27</v>
      </c>
      <c r="I8" s="52" t="s">
        <v>27</v>
      </c>
      <c r="J8" s="53" t="s">
        <v>27</v>
      </c>
      <c r="K8" s="54" t="s">
        <v>27</v>
      </c>
      <c r="L8" s="52" t="s">
        <v>27</v>
      </c>
      <c r="M8" s="53" t="s">
        <v>27</v>
      </c>
      <c r="N8" s="54" t="s">
        <v>27</v>
      </c>
      <c r="P8" s="30">
        <v>6</v>
      </c>
      <c r="Q8" s="58" t="s">
        <v>32</v>
      </c>
      <c r="R8" s="52" t="s">
        <v>26</v>
      </c>
      <c r="S8" s="53" t="s">
        <v>26</v>
      </c>
      <c r="T8" s="54" t="s">
        <v>26</v>
      </c>
      <c r="U8" s="52" t="s">
        <v>26</v>
      </c>
      <c r="V8" s="53" t="s">
        <v>26</v>
      </c>
      <c r="W8" s="54" t="s">
        <v>26</v>
      </c>
      <c r="X8" s="52" t="s">
        <v>26</v>
      </c>
      <c r="Y8" s="53" t="s">
        <v>26</v>
      </c>
      <c r="Z8" s="54" t="s">
        <v>26</v>
      </c>
      <c r="AA8" s="52" t="s">
        <v>26</v>
      </c>
      <c r="AB8" s="53" t="s">
        <v>26</v>
      </c>
      <c r="AC8" s="54" t="s">
        <v>26</v>
      </c>
    </row>
    <row r="9" spans="1:32" ht="24.65" customHeight="1" x14ac:dyDescent="0.35">
      <c r="A9" s="35">
        <v>5</v>
      </c>
      <c r="B9" s="60" t="s">
        <v>16</v>
      </c>
      <c r="C9" s="55" t="s">
        <v>26</v>
      </c>
      <c r="D9" s="56" t="s">
        <v>27</v>
      </c>
      <c r="E9" s="57" t="s">
        <v>27</v>
      </c>
      <c r="F9" s="55" t="s">
        <v>27</v>
      </c>
      <c r="G9" s="56" t="s">
        <v>27</v>
      </c>
      <c r="H9" s="57" t="s">
        <v>27</v>
      </c>
      <c r="I9" s="55" t="s">
        <v>27</v>
      </c>
      <c r="J9" s="56" t="s">
        <v>27</v>
      </c>
      <c r="K9" s="57" t="s">
        <v>27</v>
      </c>
      <c r="L9" s="55" t="s">
        <v>28</v>
      </c>
      <c r="M9" s="56" t="s">
        <v>28</v>
      </c>
      <c r="N9" s="57" t="s">
        <v>28</v>
      </c>
      <c r="P9" s="30">
        <v>5</v>
      </c>
      <c r="Q9" s="58" t="s">
        <v>101</v>
      </c>
      <c r="R9" s="55" t="s">
        <v>27</v>
      </c>
      <c r="S9" s="56" t="s">
        <v>27</v>
      </c>
      <c r="T9" s="57" t="s">
        <v>27</v>
      </c>
      <c r="U9" s="55" t="s">
        <v>27</v>
      </c>
      <c r="V9" s="56" t="s">
        <v>27</v>
      </c>
      <c r="W9" s="57" t="s">
        <v>27</v>
      </c>
      <c r="X9" s="55" t="s">
        <v>27</v>
      </c>
      <c r="Y9" s="56" t="s">
        <v>27</v>
      </c>
      <c r="Z9" s="57" t="s">
        <v>27</v>
      </c>
      <c r="AA9" s="55" t="s">
        <v>27</v>
      </c>
      <c r="AB9" s="56" t="s">
        <v>27</v>
      </c>
      <c r="AC9" s="57" t="s">
        <v>27</v>
      </c>
    </row>
    <row r="10" spans="1:32" ht="24.65" customHeight="1" x14ac:dyDescent="0.35">
      <c r="A10" s="35">
        <v>4</v>
      </c>
      <c r="B10" s="60" t="s">
        <v>14</v>
      </c>
      <c r="C10" s="52" t="s">
        <v>27</v>
      </c>
      <c r="D10" s="53" t="s">
        <v>27</v>
      </c>
      <c r="E10" s="54" t="s">
        <v>27</v>
      </c>
      <c r="F10" s="52" t="s">
        <v>27</v>
      </c>
      <c r="G10" s="53" t="s">
        <v>27</v>
      </c>
      <c r="H10" s="54" t="s">
        <v>27</v>
      </c>
      <c r="I10" s="52" t="s">
        <v>28</v>
      </c>
      <c r="J10" s="53" t="s">
        <v>28</v>
      </c>
      <c r="K10" s="54" t="s">
        <v>28</v>
      </c>
      <c r="L10" s="52" t="s">
        <v>28</v>
      </c>
      <c r="M10" s="53" t="s">
        <v>28</v>
      </c>
      <c r="N10" s="54" t="s">
        <v>28</v>
      </c>
      <c r="P10" s="30">
        <v>4</v>
      </c>
      <c r="Q10" s="58" t="s">
        <v>30</v>
      </c>
      <c r="R10" s="52" t="s">
        <v>27</v>
      </c>
      <c r="S10" s="53" t="s">
        <v>27</v>
      </c>
      <c r="T10" s="54" t="s">
        <v>27</v>
      </c>
      <c r="U10" s="52" t="s">
        <v>27</v>
      </c>
      <c r="V10" s="53" t="s">
        <v>27</v>
      </c>
      <c r="W10" s="54" t="s">
        <v>27</v>
      </c>
      <c r="X10" s="52" t="s">
        <v>27</v>
      </c>
      <c r="Y10" s="53" t="s">
        <v>27</v>
      </c>
      <c r="Z10" s="54" t="s">
        <v>27</v>
      </c>
      <c r="AA10" s="52" t="s">
        <v>27</v>
      </c>
      <c r="AB10" s="53" t="s">
        <v>27</v>
      </c>
      <c r="AC10" s="54" t="s">
        <v>27</v>
      </c>
    </row>
    <row r="11" spans="1:32" ht="24.65" customHeight="1" x14ac:dyDescent="0.35">
      <c r="A11" s="35">
        <v>3</v>
      </c>
      <c r="B11" s="60" t="s">
        <v>13</v>
      </c>
      <c r="C11" s="55" t="s">
        <v>27</v>
      </c>
      <c r="D11" s="56" t="s">
        <v>27</v>
      </c>
      <c r="E11" s="57" t="s">
        <v>27</v>
      </c>
      <c r="F11" s="55" t="s">
        <v>28</v>
      </c>
      <c r="G11" s="56" t="s">
        <v>28</v>
      </c>
      <c r="H11" s="57" t="s">
        <v>28</v>
      </c>
      <c r="I11" s="55" t="s">
        <v>28</v>
      </c>
      <c r="J11" s="56" t="s">
        <v>28</v>
      </c>
      <c r="K11" s="57" t="s">
        <v>28</v>
      </c>
      <c r="L11" s="55" t="s">
        <v>28</v>
      </c>
      <c r="M11" s="56" t="s">
        <v>28</v>
      </c>
      <c r="N11" s="57" t="s">
        <v>28</v>
      </c>
      <c r="P11" s="30">
        <v>3</v>
      </c>
      <c r="Q11" s="58" t="s">
        <v>35</v>
      </c>
      <c r="R11" s="55" t="s">
        <v>27</v>
      </c>
      <c r="S11" s="56" t="s">
        <v>27</v>
      </c>
      <c r="T11" s="57" t="s">
        <v>27</v>
      </c>
      <c r="U11" s="55" t="s">
        <v>27</v>
      </c>
      <c r="V11" s="56" t="s">
        <v>27</v>
      </c>
      <c r="W11" s="57" t="s">
        <v>27</v>
      </c>
      <c r="X11" s="55" t="s">
        <v>27</v>
      </c>
      <c r="Y11" s="56" t="s">
        <v>27</v>
      </c>
      <c r="Z11" s="57" t="s">
        <v>27</v>
      </c>
      <c r="AA11" s="55" t="s">
        <v>27</v>
      </c>
      <c r="AB11" s="56" t="s">
        <v>27</v>
      </c>
      <c r="AC11" s="57" t="s">
        <v>27</v>
      </c>
    </row>
    <row r="12" spans="1:32" ht="24.65" customHeight="1" x14ac:dyDescent="0.35">
      <c r="A12" s="35">
        <v>2</v>
      </c>
      <c r="B12" s="60" t="s">
        <v>12</v>
      </c>
      <c r="C12" s="52" t="s">
        <v>28</v>
      </c>
      <c r="D12" s="53" t="s">
        <v>28</v>
      </c>
      <c r="E12" s="54" t="s">
        <v>28</v>
      </c>
      <c r="F12" s="52" t="s">
        <v>28</v>
      </c>
      <c r="G12" s="53" t="s">
        <v>28</v>
      </c>
      <c r="H12" s="54" t="s">
        <v>28</v>
      </c>
      <c r="I12" s="52" t="s">
        <v>28</v>
      </c>
      <c r="J12" s="53" t="s">
        <v>28</v>
      </c>
      <c r="K12" s="54" t="s">
        <v>28</v>
      </c>
      <c r="L12" s="52" t="s">
        <v>28</v>
      </c>
      <c r="M12" s="53" t="s">
        <v>28</v>
      </c>
      <c r="N12" s="54" t="s">
        <v>28</v>
      </c>
      <c r="P12" s="30">
        <v>2</v>
      </c>
      <c r="Q12" s="58" t="s">
        <v>34</v>
      </c>
      <c r="R12" s="52" t="s">
        <v>28</v>
      </c>
      <c r="S12" s="53" t="s">
        <v>28</v>
      </c>
      <c r="T12" s="54" t="s">
        <v>28</v>
      </c>
      <c r="U12" s="52" t="s">
        <v>28</v>
      </c>
      <c r="V12" s="53" t="s">
        <v>28</v>
      </c>
      <c r="W12" s="54" t="s">
        <v>28</v>
      </c>
      <c r="X12" s="52" t="s">
        <v>28</v>
      </c>
      <c r="Y12" s="53" t="s">
        <v>28</v>
      </c>
      <c r="Z12" s="54" t="s">
        <v>28</v>
      </c>
      <c r="AA12" s="52" t="s">
        <v>28</v>
      </c>
      <c r="AB12" s="53" t="s">
        <v>28</v>
      </c>
      <c r="AC12" s="54" t="s">
        <v>28</v>
      </c>
    </row>
    <row r="13" spans="1:32" ht="24.65" customHeight="1" x14ac:dyDescent="0.35">
      <c r="A13" s="35">
        <v>1</v>
      </c>
      <c r="B13" s="60" t="s">
        <v>11</v>
      </c>
      <c r="C13" s="55" t="s">
        <v>28</v>
      </c>
      <c r="D13" s="56" t="s">
        <v>28</v>
      </c>
      <c r="E13" s="57" t="s">
        <v>28</v>
      </c>
      <c r="F13" s="55" t="s">
        <v>28</v>
      </c>
      <c r="G13" s="56" t="s">
        <v>28</v>
      </c>
      <c r="H13" s="57" t="s">
        <v>28</v>
      </c>
      <c r="I13" s="55" t="s">
        <v>28</v>
      </c>
      <c r="J13" s="56" t="s">
        <v>28</v>
      </c>
      <c r="K13" s="57" t="s">
        <v>28</v>
      </c>
      <c r="L13" s="55" t="s">
        <v>28</v>
      </c>
      <c r="M13" s="56" t="s">
        <v>28</v>
      </c>
      <c r="N13" s="57" t="s">
        <v>28</v>
      </c>
      <c r="P13" s="30">
        <v>1</v>
      </c>
      <c r="Q13" s="58" t="s">
        <v>36</v>
      </c>
      <c r="R13" s="55" t="s">
        <v>28</v>
      </c>
      <c r="S13" s="56" t="s">
        <v>28</v>
      </c>
      <c r="T13" s="57" t="s">
        <v>28</v>
      </c>
      <c r="U13" s="55" t="s">
        <v>28</v>
      </c>
      <c r="V13" s="56" t="s">
        <v>28</v>
      </c>
      <c r="W13" s="57" t="s">
        <v>28</v>
      </c>
      <c r="X13" s="55" t="s">
        <v>28</v>
      </c>
      <c r="Y13" s="56" t="s">
        <v>28</v>
      </c>
      <c r="Z13" s="57" t="s">
        <v>28</v>
      </c>
      <c r="AA13" s="55" t="s">
        <v>28</v>
      </c>
      <c r="AB13" s="56" t="s">
        <v>28</v>
      </c>
      <c r="AC13" s="57" t="s">
        <v>28</v>
      </c>
    </row>
    <row r="15" spans="1:32" ht="30" customHeight="1" x14ac:dyDescent="0.35">
      <c r="A15" s="43" t="s">
        <v>85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43" t="s">
        <v>87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</row>
    <row r="16" spans="1:32" x14ac:dyDescent="0.35">
      <c r="A16" s="47" t="s">
        <v>78</v>
      </c>
      <c r="B16" s="48" t="s">
        <v>84</v>
      </c>
      <c r="C16" s="31" t="str">
        <f ca="1">INDEX(TimePeriods,0,1)</f>
        <v>1 hr</v>
      </c>
      <c r="D16" s="32" t="str">
        <f ca="1">INDEX(TimePeriods,0,2)</f>
        <v>4 hrs</v>
      </c>
      <c r="E16" s="33" t="str">
        <f ca="1">INDEX(TimePeriods,0,3)</f>
        <v>8 hrs</v>
      </c>
      <c r="F16" s="31" t="str">
        <f ca="1">INDEX(TimePeriods,0,4)</f>
        <v>1 day</v>
      </c>
      <c r="G16" s="32" t="str">
        <f ca="1">INDEX(TimePeriods,0,5)</f>
        <v>2 days</v>
      </c>
      <c r="H16" s="33" t="str">
        <f ca="1">INDEX(TimePeriods,0,6)</f>
        <v>3 days</v>
      </c>
      <c r="I16" s="31" t="str">
        <f ca="1">INDEX(TimePeriods,0,7)</f>
        <v>1 wk</v>
      </c>
      <c r="J16" s="32" t="str">
        <f ca="1">INDEX(TimePeriods,0,8)</f>
        <v>2 wks</v>
      </c>
      <c r="K16" s="33" t="str">
        <f ca="1">INDEX(TimePeriods,0,9)</f>
        <v>3 wks</v>
      </c>
      <c r="L16" s="31" t="str">
        <f ca="1">INDEX(TimePeriods,0,10)</f>
        <v>1 mth</v>
      </c>
      <c r="M16" s="32" t="str">
        <f ca="1">INDEX(TimePeriods,0,11)</f>
        <v>2 mths</v>
      </c>
      <c r="N16" s="33" t="str">
        <f ca="1">INDEX(TimePeriods,0,12)</f>
        <v>3 mths</v>
      </c>
      <c r="P16" s="47" t="s">
        <v>78</v>
      </c>
      <c r="Q16" s="48" t="s">
        <v>84</v>
      </c>
      <c r="R16" s="31" t="str">
        <f ca="1">INDEX(TimePeriods,0,1)</f>
        <v>1 hr</v>
      </c>
      <c r="S16" s="32" t="str">
        <f ca="1">INDEX(TimePeriods,0,2)</f>
        <v>4 hrs</v>
      </c>
      <c r="T16" s="33" t="str">
        <f ca="1">INDEX(TimePeriods,0,3)</f>
        <v>8 hrs</v>
      </c>
      <c r="U16" s="31" t="str">
        <f ca="1">INDEX(TimePeriods,0,4)</f>
        <v>1 day</v>
      </c>
      <c r="V16" s="32" t="str">
        <f ca="1">INDEX(TimePeriods,0,5)</f>
        <v>2 days</v>
      </c>
      <c r="W16" s="33" t="str">
        <f ca="1">INDEX(TimePeriods,0,6)</f>
        <v>3 days</v>
      </c>
      <c r="X16" s="31" t="str">
        <f ca="1">INDEX(TimePeriods,0,7)</f>
        <v>1 wk</v>
      </c>
      <c r="Y16" s="32" t="str">
        <f ca="1">INDEX(TimePeriods,0,8)</f>
        <v>2 wks</v>
      </c>
      <c r="Z16" s="33" t="str">
        <f ca="1">INDEX(TimePeriods,0,9)</f>
        <v>3 wks</v>
      </c>
      <c r="AA16" s="31" t="str">
        <f ca="1">INDEX(TimePeriods,0,10)</f>
        <v>1 mth</v>
      </c>
      <c r="AB16" s="32" t="str">
        <f ca="1">INDEX(TimePeriods,0,11)</f>
        <v>2 mths</v>
      </c>
      <c r="AC16" s="33" t="str">
        <f ca="1">INDEX(TimePeriods,0,12)</f>
        <v>3 mths</v>
      </c>
    </row>
    <row r="17" spans="1:29" ht="24.65" customHeight="1" x14ac:dyDescent="0.35">
      <c r="A17" s="30">
        <v>10</v>
      </c>
      <c r="B17" s="58" t="s">
        <v>147</v>
      </c>
      <c r="C17" s="52" t="s">
        <v>25</v>
      </c>
      <c r="D17" s="53" t="s">
        <v>25</v>
      </c>
      <c r="E17" s="54" t="s">
        <v>25</v>
      </c>
      <c r="F17" s="52" t="s">
        <v>25</v>
      </c>
      <c r="G17" s="53" t="s">
        <v>25</v>
      </c>
      <c r="H17" s="54" t="s">
        <v>25</v>
      </c>
      <c r="I17" s="52" t="s">
        <v>25</v>
      </c>
      <c r="J17" s="53" t="s">
        <v>26</v>
      </c>
      <c r="K17" s="54" t="s">
        <v>26</v>
      </c>
      <c r="L17" s="52" t="s">
        <v>27</v>
      </c>
      <c r="M17" s="53" t="s">
        <v>27</v>
      </c>
      <c r="N17" s="54" t="s">
        <v>28</v>
      </c>
      <c r="P17" s="30">
        <v>10</v>
      </c>
      <c r="Q17" s="58" t="s">
        <v>97</v>
      </c>
      <c r="R17" s="52" t="s">
        <v>25</v>
      </c>
      <c r="S17" s="53" t="s">
        <v>25</v>
      </c>
      <c r="T17" s="54" t="s">
        <v>25</v>
      </c>
      <c r="U17" s="52" t="s">
        <v>25</v>
      </c>
      <c r="V17" s="53" t="s">
        <v>25</v>
      </c>
      <c r="W17" s="54" t="s">
        <v>25</v>
      </c>
      <c r="X17" s="52" t="s">
        <v>25</v>
      </c>
      <c r="Y17" s="53" t="s">
        <v>25</v>
      </c>
      <c r="Z17" s="54" t="s">
        <v>25</v>
      </c>
      <c r="AA17" s="52" t="s">
        <v>25</v>
      </c>
      <c r="AB17" s="53" t="s">
        <v>25</v>
      </c>
      <c r="AC17" s="54" t="s">
        <v>25</v>
      </c>
    </row>
    <row r="18" spans="1:29" ht="24.65" customHeight="1" x14ac:dyDescent="0.35">
      <c r="A18" s="30">
        <v>9</v>
      </c>
      <c r="B18" s="58" t="s">
        <v>156</v>
      </c>
      <c r="C18" s="55" t="s">
        <v>25</v>
      </c>
      <c r="D18" s="56" t="s">
        <v>25</v>
      </c>
      <c r="E18" s="57" t="s">
        <v>25</v>
      </c>
      <c r="F18" s="55" t="s">
        <v>25</v>
      </c>
      <c r="G18" s="56" t="s">
        <v>25</v>
      </c>
      <c r="H18" s="57" t="s">
        <v>25</v>
      </c>
      <c r="I18" s="55" t="s">
        <v>25</v>
      </c>
      <c r="J18" s="56" t="s">
        <v>26</v>
      </c>
      <c r="K18" s="57" t="s">
        <v>26</v>
      </c>
      <c r="L18" s="55" t="s">
        <v>27</v>
      </c>
      <c r="M18" s="56" t="s">
        <v>27</v>
      </c>
      <c r="N18" s="57" t="s">
        <v>28</v>
      </c>
      <c r="P18" s="30">
        <v>9</v>
      </c>
      <c r="Q18" s="58" t="s">
        <v>146</v>
      </c>
      <c r="R18" s="55" t="s">
        <v>26</v>
      </c>
      <c r="S18" s="56" t="s">
        <v>26</v>
      </c>
      <c r="T18" s="57" t="s">
        <v>26</v>
      </c>
      <c r="U18" s="55" t="s">
        <v>25</v>
      </c>
      <c r="V18" s="56" t="s">
        <v>25</v>
      </c>
      <c r="W18" s="57" t="s">
        <v>25</v>
      </c>
      <c r="X18" s="55" t="s">
        <v>25</v>
      </c>
      <c r="Y18" s="56" t="s">
        <v>25</v>
      </c>
      <c r="Z18" s="57" t="s">
        <v>25</v>
      </c>
      <c r="AA18" s="55" t="s">
        <v>25</v>
      </c>
      <c r="AB18" s="56" t="s">
        <v>25</v>
      </c>
      <c r="AC18" s="57" t="s">
        <v>25</v>
      </c>
    </row>
    <row r="19" spans="1:29" ht="24.65" customHeight="1" x14ac:dyDescent="0.35">
      <c r="A19" s="30">
        <v>8</v>
      </c>
      <c r="B19" s="58" t="s">
        <v>155</v>
      </c>
      <c r="C19" s="52" t="s">
        <v>25</v>
      </c>
      <c r="D19" s="53" t="s">
        <v>25</v>
      </c>
      <c r="E19" s="54" t="s">
        <v>25</v>
      </c>
      <c r="F19" s="52" t="s">
        <v>25</v>
      </c>
      <c r="G19" s="53" t="s">
        <v>25</v>
      </c>
      <c r="H19" s="54" t="s">
        <v>25</v>
      </c>
      <c r="I19" s="52" t="s">
        <v>26</v>
      </c>
      <c r="J19" s="53" t="s">
        <v>26</v>
      </c>
      <c r="K19" s="54" t="s">
        <v>27</v>
      </c>
      <c r="L19" s="52" t="s">
        <v>27</v>
      </c>
      <c r="M19" s="53" t="s">
        <v>27</v>
      </c>
      <c r="N19" s="54" t="s">
        <v>28</v>
      </c>
      <c r="P19" s="30">
        <v>8</v>
      </c>
      <c r="Q19" s="58" t="s">
        <v>98</v>
      </c>
      <c r="R19" s="52" t="s">
        <v>26</v>
      </c>
      <c r="S19" s="53" t="s">
        <v>26</v>
      </c>
      <c r="T19" s="54" t="s">
        <v>26</v>
      </c>
      <c r="U19" s="52" t="s">
        <v>26</v>
      </c>
      <c r="V19" s="53" t="s">
        <v>26</v>
      </c>
      <c r="W19" s="54" t="s">
        <v>26</v>
      </c>
      <c r="X19" s="52" t="s">
        <v>25</v>
      </c>
      <c r="Y19" s="53" t="s">
        <v>25</v>
      </c>
      <c r="Z19" s="54" t="s">
        <v>25</v>
      </c>
      <c r="AA19" s="52" t="s">
        <v>25</v>
      </c>
      <c r="AB19" s="53" t="s">
        <v>25</v>
      </c>
      <c r="AC19" s="54" t="s">
        <v>25</v>
      </c>
    </row>
    <row r="20" spans="1:29" ht="24.65" customHeight="1" x14ac:dyDescent="0.35">
      <c r="A20" s="30">
        <v>7</v>
      </c>
      <c r="B20" s="58" t="s">
        <v>154</v>
      </c>
      <c r="C20" s="55" t="s">
        <v>25</v>
      </c>
      <c r="D20" s="56" t="s">
        <v>25</v>
      </c>
      <c r="E20" s="57" t="s">
        <v>25</v>
      </c>
      <c r="F20" s="55" t="s">
        <v>25</v>
      </c>
      <c r="G20" s="56" t="s">
        <v>25</v>
      </c>
      <c r="H20" s="57" t="s">
        <v>25</v>
      </c>
      <c r="I20" s="55" t="s">
        <v>26</v>
      </c>
      <c r="J20" s="56" t="s">
        <v>26</v>
      </c>
      <c r="K20" s="57" t="s">
        <v>27</v>
      </c>
      <c r="L20" s="55" t="s">
        <v>27</v>
      </c>
      <c r="M20" s="56" t="s">
        <v>28</v>
      </c>
      <c r="N20" s="57" t="s">
        <v>28</v>
      </c>
      <c r="P20" s="30">
        <v>7</v>
      </c>
      <c r="Q20" s="58"/>
      <c r="R20" s="55" t="s">
        <v>26</v>
      </c>
      <c r="S20" s="56" t="s">
        <v>26</v>
      </c>
      <c r="T20" s="57" t="s">
        <v>26</v>
      </c>
      <c r="U20" s="55" t="s">
        <v>26</v>
      </c>
      <c r="V20" s="56" t="s">
        <v>26</v>
      </c>
      <c r="W20" s="57" t="s">
        <v>26</v>
      </c>
      <c r="X20" s="55" t="s">
        <v>25</v>
      </c>
      <c r="Y20" s="56" t="s">
        <v>25</v>
      </c>
      <c r="Z20" s="57" t="s">
        <v>25</v>
      </c>
      <c r="AA20" s="55" t="s">
        <v>25</v>
      </c>
      <c r="AB20" s="56" t="s">
        <v>25</v>
      </c>
      <c r="AC20" s="57" t="s">
        <v>25</v>
      </c>
    </row>
    <row r="21" spans="1:29" ht="24.65" customHeight="1" x14ac:dyDescent="0.35">
      <c r="A21" s="30">
        <v>6</v>
      </c>
      <c r="B21" s="58" t="s">
        <v>153</v>
      </c>
      <c r="C21" s="52" t="s">
        <v>25</v>
      </c>
      <c r="D21" s="53" t="s">
        <v>25</v>
      </c>
      <c r="E21" s="54" t="s">
        <v>25</v>
      </c>
      <c r="F21" s="52" t="s">
        <v>25</v>
      </c>
      <c r="G21" s="53" t="s">
        <v>25</v>
      </c>
      <c r="H21" s="54" t="s">
        <v>26</v>
      </c>
      <c r="I21" s="52" t="s">
        <v>26</v>
      </c>
      <c r="J21" s="53" t="s">
        <v>27</v>
      </c>
      <c r="K21" s="54" t="s">
        <v>27</v>
      </c>
      <c r="L21" s="52" t="s">
        <v>27</v>
      </c>
      <c r="M21" s="53" t="s">
        <v>28</v>
      </c>
      <c r="N21" s="54" t="s">
        <v>28</v>
      </c>
      <c r="P21" s="30">
        <v>6</v>
      </c>
      <c r="Q21" s="58" t="s">
        <v>145</v>
      </c>
      <c r="R21" s="52" t="s">
        <v>27</v>
      </c>
      <c r="S21" s="53" t="s">
        <v>27</v>
      </c>
      <c r="T21" s="54" t="s">
        <v>27</v>
      </c>
      <c r="U21" s="52" t="s">
        <v>26</v>
      </c>
      <c r="V21" s="53" t="s">
        <v>26</v>
      </c>
      <c r="W21" s="54" t="s">
        <v>26</v>
      </c>
      <c r="X21" s="52" t="s">
        <v>25</v>
      </c>
      <c r="Y21" s="53" t="s">
        <v>25</v>
      </c>
      <c r="Z21" s="54" t="s">
        <v>25</v>
      </c>
      <c r="AA21" s="52" t="s">
        <v>25</v>
      </c>
      <c r="AB21" s="53" t="s">
        <v>25</v>
      </c>
      <c r="AC21" s="54" t="s">
        <v>25</v>
      </c>
    </row>
    <row r="22" spans="1:29" ht="24.65" customHeight="1" x14ac:dyDescent="0.35">
      <c r="A22" s="30">
        <v>5</v>
      </c>
      <c r="B22" s="58" t="s">
        <v>152</v>
      </c>
      <c r="C22" s="55" t="s">
        <v>25</v>
      </c>
      <c r="D22" s="56" t="s">
        <v>25</v>
      </c>
      <c r="E22" s="57" t="s">
        <v>25</v>
      </c>
      <c r="F22" s="55" t="s">
        <v>25</v>
      </c>
      <c r="G22" s="56" t="s">
        <v>26</v>
      </c>
      <c r="H22" s="57" t="s">
        <v>26</v>
      </c>
      <c r="I22" s="55" t="s">
        <v>27</v>
      </c>
      <c r="J22" s="56" t="s">
        <v>27</v>
      </c>
      <c r="K22" s="57" t="s">
        <v>27</v>
      </c>
      <c r="L22" s="55" t="s">
        <v>28</v>
      </c>
      <c r="M22" s="56" t="s">
        <v>28</v>
      </c>
      <c r="N22" s="57" t="s">
        <v>28</v>
      </c>
      <c r="P22" s="30">
        <v>5</v>
      </c>
      <c r="Q22" s="58"/>
      <c r="R22" s="55" t="s">
        <v>28</v>
      </c>
      <c r="S22" s="56" t="s">
        <v>28</v>
      </c>
      <c r="T22" s="57" t="s">
        <v>28</v>
      </c>
      <c r="U22" s="55" t="s">
        <v>27</v>
      </c>
      <c r="V22" s="56" t="s">
        <v>27</v>
      </c>
      <c r="W22" s="57" t="s">
        <v>27</v>
      </c>
      <c r="X22" s="55" t="s">
        <v>25</v>
      </c>
      <c r="Y22" s="56" t="s">
        <v>25</v>
      </c>
      <c r="Z22" s="57" t="s">
        <v>25</v>
      </c>
      <c r="AA22" s="55" t="s">
        <v>25</v>
      </c>
      <c r="AB22" s="56" t="s">
        <v>25</v>
      </c>
      <c r="AC22" s="57" t="s">
        <v>25</v>
      </c>
    </row>
    <row r="23" spans="1:29" ht="24.65" customHeight="1" x14ac:dyDescent="0.35">
      <c r="A23" s="30">
        <v>4</v>
      </c>
      <c r="B23" s="58" t="s">
        <v>149</v>
      </c>
      <c r="C23" s="52" t="s">
        <v>25</v>
      </c>
      <c r="D23" s="53" t="s">
        <v>25</v>
      </c>
      <c r="E23" s="54" t="s">
        <v>26</v>
      </c>
      <c r="F23" s="52" t="s">
        <v>26</v>
      </c>
      <c r="G23" s="53" t="s">
        <v>26</v>
      </c>
      <c r="H23" s="54" t="s">
        <v>27</v>
      </c>
      <c r="I23" s="52" t="s">
        <v>27</v>
      </c>
      <c r="J23" s="53" t="s">
        <v>27</v>
      </c>
      <c r="K23" s="54" t="s">
        <v>27</v>
      </c>
      <c r="L23" s="52" t="s">
        <v>28</v>
      </c>
      <c r="M23" s="53" t="s">
        <v>28</v>
      </c>
      <c r="N23" s="54" t="s">
        <v>28</v>
      </c>
      <c r="P23" s="30">
        <v>4</v>
      </c>
      <c r="Q23" s="58" t="s">
        <v>99</v>
      </c>
      <c r="R23" s="52" t="s">
        <v>28</v>
      </c>
      <c r="S23" s="53" t="s">
        <v>28</v>
      </c>
      <c r="T23" s="54" t="s">
        <v>28</v>
      </c>
      <c r="U23" s="52" t="s">
        <v>27</v>
      </c>
      <c r="V23" s="53" t="s">
        <v>27</v>
      </c>
      <c r="W23" s="54" t="s">
        <v>27</v>
      </c>
      <c r="X23" s="52" t="s">
        <v>26</v>
      </c>
      <c r="Y23" s="53" t="s">
        <v>26</v>
      </c>
      <c r="Z23" s="54" t="s">
        <v>26</v>
      </c>
      <c r="AA23" s="52" t="s">
        <v>25</v>
      </c>
      <c r="AB23" s="53" t="s">
        <v>25</v>
      </c>
      <c r="AC23" s="54" t="s">
        <v>25</v>
      </c>
    </row>
    <row r="24" spans="1:29" ht="24.65" customHeight="1" x14ac:dyDescent="0.35">
      <c r="A24" s="30">
        <v>3</v>
      </c>
      <c r="B24" s="58" t="s">
        <v>150</v>
      </c>
      <c r="C24" s="55" t="s">
        <v>26</v>
      </c>
      <c r="D24" s="56" t="s">
        <v>26</v>
      </c>
      <c r="E24" s="57" t="s">
        <v>26</v>
      </c>
      <c r="F24" s="55" t="s">
        <v>26</v>
      </c>
      <c r="G24" s="56" t="s">
        <v>27</v>
      </c>
      <c r="H24" s="57" t="s">
        <v>27</v>
      </c>
      <c r="I24" s="55" t="s">
        <v>27</v>
      </c>
      <c r="J24" s="56" t="s">
        <v>27</v>
      </c>
      <c r="K24" s="57" t="s">
        <v>28</v>
      </c>
      <c r="L24" s="55" t="s">
        <v>28</v>
      </c>
      <c r="M24" s="56" t="s">
        <v>28</v>
      </c>
      <c r="N24" s="57" t="s">
        <v>28</v>
      </c>
      <c r="P24" s="30">
        <v>3</v>
      </c>
      <c r="Q24" s="58"/>
      <c r="R24" s="55" t="s">
        <v>28</v>
      </c>
      <c r="S24" s="56" t="s">
        <v>28</v>
      </c>
      <c r="T24" s="57" t="s">
        <v>28</v>
      </c>
      <c r="U24" s="55" t="s">
        <v>28</v>
      </c>
      <c r="V24" s="56" t="s">
        <v>28</v>
      </c>
      <c r="W24" s="57" t="s">
        <v>28</v>
      </c>
      <c r="X24" s="55" t="s">
        <v>26</v>
      </c>
      <c r="Y24" s="56" t="s">
        <v>26</v>
      </c>
      <c r="Z24" s="57" t="s">
        <v>26</v>
      </c>
      <c r="AA24" s="55" t="s">
        <v>25</v>
      </c>
      <c r="AB24" s="56" t="s">
        <v>25</v>
      </c>
      <c r="AC24" s="57" t="s">
        <v>25</v>
      </c>
    </row>
    <row r="25" spans="1:29" ht="24.65" customHeight="1" x14ac:dyDescent="0.35">
      <c r="A25" s="30">
        <v>2</v>
      </c>
      <c r="B25" s="58" t="s">
        <v>151</v>
      </c>
      <c r="C25" s="52" t="s">
        <v>26</v>
      </c>
      <c r="D25" s="53" t="s">
        <v>26</v>
      </c>
      <c r="E25" s="54" t="s">
        <v>27</v>
      </c>
      <c r="F25" s="52" t="s">
        <v>27</v>
      </c>
      <c r="G25" s="53" t="s">
        <v>27</v>
      </c>
      <c r="H25" s="54" t="s">
        <v>27</v>
      </c>
      <c r="I25" s="52" t="s">
        <v>28</v>
      </c>
      <c r="J25" s="53" t="s">
        <v>28</v>
      </c>
      <c r="K25" s="54" t="s">
        <v>28</v>
      </c>
      <c r="L25" s="52" t="s">
        <v>28</v>
      </c>
      <c r="M25" s="53" t="s">
        <v>28</v>
      </c>
      <c r="N25" s="54" t="s">
        <v>28</v>
      </c>
      <c r="P25" s="30">
        <v>2</v>
      </c>
      <c r="Q25" s="58" t="s">
        <v>100</v>
      </c>
      <c r="R25" s="52" t="s">
        <v>28</v>
      </c>
      <c r="S25" s="53" t="s">
        <v>28</v>
      </c>
      <c r="T25" s="54" t="s">
        <v>28</v>
      </c>
      <c r="U25" s="52" t="s">
        <v>28</v>
      </c>
      <c r="V25" s="53" t="s">
        <v>28</v>
      </c>
      <c r="W25" s="54" t="s">
        <v>28</v>
      </c>
      <c r="X25" s="52" t="s">
        <v>27</v>
      </c>
      <c r="Y25" s="53" t="s">
        <v>27</v>
      </c>
      <c r="Z25" s="54" t="s">
        <v>27</v>
      </c>
      <c r="AA25" s="52" t="s">
        <v>25</v>
      </c>
      <c r="AB25" s="53" t="s">
        <v>25</v>
      </c>
      <c r="AC25" s="54" t="s">
        <v>25</v>
      </c>
    </row>
    <row r="26" spans="1:29" ht="24.65" customHeight="1" x14ac:dyDescent="0.35">
      <c r="A26" s="30">
        <v>1</v>
      </c>
      <c r="B26" s="58" t="s">
        <v>148</v>
      </c>
      <c r="C26" s="55" t="s">
        <v>27</v>
      </c>
      <c r="D26" s="56" t="s">
        <v>27</v>
      </c>
      <c r="E26" s="57" t="s">
        <v>27</v>
      </c>
      <c r="F26" s="55" t="s">
        <v>27</v>
      </c>
      <c r="G26" s="56" t="s">
        <v>28</v>
      </c>
      <c r="H26" s="57" t="s">
        <v>28</v>
      </c>
      <c r="I26" s="55" t="s">
        <v>28</v>
      </c>
      <c r="J26" s="56" t="s">
        <v>28</v>
      </c>
      <c r="K26" s="57" t="s">
        <v>28</v>
      </c>
      <c r="L26" s="55" t="s">
        <v>28</v>
      </c>
      <c r="M26" s="56" t="s">
        <v>28</v>
      </c>
      <c r="N26" s="57" t="s">
        <v>28</v>
      </c>
      <c r="P26" s="30">
        <v>1</v>
      </c>
      <c r="Q26" s="58" t="s">
        <v>36</v>
      </c>
      <c r="R26" s="55" t="s">
        <v>28</v>
      </c>
      <c r="S26" s="56" t="s">
        <v>28</v>
      </c>
      <c r="T26" s="57" t="s">
        <v>28</v>
      </c>
      <c r="U26" s="55" t="s">
        <v>28</v>
      </c>
      <c r="V26" s="56" t="s">
        <v>28</v>
      </c>
      <c r="W26" s="57" t="s">
        <v>28</v>
      </c>
      <c r="X26" s="55" t="s">
        <v>28</v>
      </c>
      <c r="Y26" s="56" t="s">
        <v>28</v>
      </c>
      <c r="Z26" s="57" t="s">
        <v>28</v>
      </c>
      <c r="AA26" s="55" t="s">
        <v>26</v>
      </c>
      <c r="AB26" s="56" t="s">
        <v>26</v>
      </c>
      <c r="AC26" s="57" t="s">
        <v>26</v>
      </c>
    </row>
    <row r="27" spans="1:29" ht="14.5" customHeight="1" x14ac:dyDescent="0.35"/>
    <row r="29" spans="1:29" ht="30" customHeight="1" x14ac:dyDescent="0.35">
      <c r="B29" s="43" t="s">
        <v>77</v>
      </c>
      <c r="C29" s="43"/>
      <c r="D29" s="43"/>
      <c r="E29" s="43"/>
    </row>
    <row r="30" spans="1:29" x14ac:dyDescent="0.35">
      <c r="B30" s="47" t="s">
        <v>78</v>
      </c>
      <c r="C30" s="153" t="s">
        <v>76</v>
      </c>
      <c r="D30" s="173" t="s">
        <v>75</v>
      </c>
      <c r="E30" s="173"/>
    </row>
    <row r="31" spans="1:29" x14ac:dyDescent="0.35">
      <c r="B31" s="37">
        <v>1</v>
      </c>
      <c r="C31" s="36">
        <v>1</v>
      </c>
      <c r="D31" s="172" t="s">
        <v>21</v>
      </c>
      <c r="E31" s="172"/>
    </row>
    <row r="32" spans="1:29" x14ac:dyDescent="0.35">
      <c r="B32" s="37">
        <v>2</v>
      </c>
      <c r="C32" s="36">
        <v>4</v>
      </c>
      <c r="D32" s="172" t="s">
        <v>21</v>
      </c>
      <c r="E32" s="172"/>
    </row>
    <row r="33" spans="2:5" x14ac:dyDescent="0.35">
      <c r="B33" s="37">
        <v>3</v>
      </c>
      <c r="C33" s="36">
        <v>8</v>
      </c>
      <c r="D33" s="172" t="s">
        <v>21</v>
      </c>
      <c r="E33" s="172"/>
    </row>
    <row r="34" spans="2:5" x14ac:dyDescent="0.35">
      <c r="B34" s="37">
        <v>4</v>
      </c>
      <c r="C34" s="36">
        <v>1</v>
      </c>
      <c r="D34" s="172" t="s">
        <v>22</v>
      </c>
      <c r="E34" s="172"/>
    </row>
    <row r="35" spans="2:5" x14ac:dyDescent="0.35">
      <c r="B35" s="37">
        <v>5</v>
      </c>
      <c r="C35" s="36">
        <v>2</v>
      </c>
      <c r="D35" s="172" t="s">
        <v>22</v>
      </c>
      <c r="E35" s="172"/>
    </row>
    <row r="36" spans="2:5" x14ac:dyDescent="0.35">
      <c r="B36" s="37">
        <v>6</v>
      </c>
      <c r="C36" s="36">
        <v>3</v>
      </c>
      <c r="D36" s="172" t="s">
        <v>22</v>
      </c>
      <c r="E36" s="172"/>
    </row>
    <row r="37" spans="2:5" x14ac:dyDescent="0.35">
      <c r="B37" s="37">
        <v>7</v>
      </c>
      <c r="C37" s="36">
        <v>1</v>
      </c>
      <c r="D37" s="172" t="s">
        <v>23</v>
      </c>
      <c r="E37" s="172"/>
    </row>
    <row r="38" spans="2:5" x14ac:dyDescent="0.35">
      <c r="B38" s="37">
        <v>8</v>
      </c>
      <c r="C38" s="36">
        <v>2</v>
      </c>
      <c r="D38" s="172" t="s">
        <v>23</v>
      </c>
      <c r="E38" s="172"/>
    </row>
    <row r="39" spans="2:5" x14ac:dyDescent="0.35">
      <c r="B39" s="37">
        <v>9</v>
      </c>
      <c r="C39" s="36">
        <v>3</v>
      </c>
      <c r="D39" s="172" t="s">
        <v>23</v>
      </c>
      <c r="E39" s="172"/>
    </row>
    <row r="40" spans="2:5" x14ac:dyDescent="0.35">
      <c r="B40" s="37">
        <v>10</v>
      </c>
      <c r="C40" s="36">
        <v>1</v>
      </c>
      <c r="D40" s="172" t="s">
        <v>24</v>
      </c>
      <c r="E40" s="172"/>
    </row>
    <row r="41" spans="2:5" x14ac:dyDescent="0.35">
      <c r="B41" s="37">
        <v>11</v>
      </c>
      <c r="C41" s="36">
        <v>2</v>
      </c>
      <c r="D41" s="172" t="s">
        <v>24</v>
      </c>
      <c r="E41" s="172"/>
    </row>
    <row r="42" spans="2:5" x14ac:dyDescent="0.35">
      <c r="B42" s="37">
        <v>12</v>
      </c>
      <c r="C42" s="36">
        <v>3</v>
      </c>
      <c r="D42" s="172" t="s">
        <v>24</v>
      </c>
      <c r="E42" s="172"/>
    </row>
  </sheetData>
  <mergeCells count="13">
    <mergeCell ref="D35:E35"/>
    <mergeCell ref="D30:E30"/>
    <mergeCell ref="D31:E31"/>
    <mergeCell ref="D32:E32"/>
    <mergeCell ref="D33:E33"/>
    <mergeCell ref="D34:E34"/>
    <mergeCell ref="D42:E42"/>
    <mergeCell ref="D36:E36"/>
    <mergeCell ref="D37:E37"/>
    <mergeCell ref="D38:E38"/>
    <mergeCell ref="D39:E39"/>
    <mergeCell ref="D40:E40"/>
    <mergeCell ref="D41:E41"/>
  </mergeCells>
  <conditionalFormatting sqref="C4:N13">
    <cfRule type="beginsWith" dxfId="16" priority="73" operator="beginsWith" text="VH">
      <formula>LEFT(C4,LEN("VH"))="VH"</formula>
    </cfRule>
    <cfRule type="beginsWith" dxfId="15" priority="74" operator="beginsWith" text="H">
      <formula>LEFT(C4,LEN("H"))="H"</formula>
    </cfRule>
    <cfRule type="beginsWith" dxfId="14" priority="75" operator="beginsWith" text="M">
      <formula>LEFT(C4,LEN("M"))="M"</formula>
    </cfRule>
    <cfRule type="beginsWith" dxfId="13" priority="76" operator="beginsWith" text="L">
      <formula>LEFT(C4,LEN("L"))="L"</formula>
    </cfRule>
  </conditionalFormatting>
  <conditionalFormatting sqref="C17:N26">
    <cfRule type="beginsWith" dxfId="12" priority="45" operator="beginsWith" text="VH">
      <formula>LEFT(C17,LEN("VH"))="VH"</formula>
    </cfRule>
    <cfRule type="beginsWith" dxfId="11" priority="46" operator="beginsWith" text="H">
      <formula>LEFT(C17,LEN("H"))="H"</formula>
    </cfRule>
    <cfRule type="beginsWith" dxfId="10" priority="47" operator="beginsWith" text="M">
      <formula>LEFT(C17,LEN("M"))="M"</formula>
    </cfRule>
    <cfRule type="beginsWith" dxfId="9" priority="48" operator="beginsWith" text="L">
      <formula>LEFT(C17,LEN("L"))="L"</formula>
    </cfRule>
  </conditionalFormatting>
  <conditionalFormatting sqref="R4:AC13">
    <cfRule type="beginsWith" dxfId="8" priority="21" operator="beginsWith" text="VH">
      <formula>LEFT(R4,LEN("VH"))="VH"</formula>
    </cfRule>
    <cfRule type="beginsWith" dxfId="7" priority="22" operator="beginsWith" text="H">
      <formula>LEFT(R4,LEN("H"))="H"</formula>
    </cfRule>
    <cfRule type="beginsWith" dxfId="6" priority="23" operator="beginsWith" text="M">
      <formula>LEFT(R4,LEN("M"))="M"</formula>
    </cfRule>
    <cfRule type="beginsWith" dxfId="5" priority="24" operator="beginsWith" text="L">
      <formula>LEFT(R4,LEN("L"))="L"</formula>
    </cfRule>
  </conditionalFormatting>
  <conditionalFormatting sqref="R17:AC26">
    <cfRule type="beginsWith" dxfId="4" priority="17" operator="beginsWith" text="VH">
      <formula>LEFT(R17,LEN("VH"))="VH"</formula>
    </cfRule>
    <cfRule type="beginsWith" dxfId="3" priority="18" operator="beginsWith" text="H">
      <formula>LEFT(R17,LEN("H"))="H"</formula>
    </cfRule>
    <cfRule type="beginsWith" dxfId="2" priority="19" operator="beginsWith" text="M">
      <formula>LEFT(R17,LEN("M"))="M"</formula>
    </cfRule>
    <cfRule type="beginsWith" dxfId="1" priority="20" operator="beginsWith" text="L">
      <formula>LEFT(R17,LEN("L"))="L"</formula>
    </cfRule>
  </conditionalFormatting>
  <dataValidations count="1">
    <dataValidation type="list" allowBlank="1" showInputMessage="1" showErrorMessage="1" sqref="R4:AC13 R17:AC26 C4:N13 C17:N26" xr:uid="{ECA9142E-C602-483F-A13A-D679337B2F35}">
      <formula1>"L,M,H,VH"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0" verticalDpi="0" r:id="rId1"/>
  <headerFooter scaleWithDoc="0">
    <oddFooter>&amp;L&amp;9&amp;G www.erickendrick.com&amp;R&amp;9&amp;K06+000This work is licensed under a Creative Commons Attribution-NoDerivatives 4.0 International License.
&amp;K000000Copyright © 2019 Eric Kendrick.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B33D8-9558-4135-9A3C-EA5CDC6A8F19}">
          <x14:formula1>
            <xm:f>·!$O$43:$O$48</xm:f>
          </x14:formula1>
          <xm:sqref>D31:D42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AA76-0077-47F7-AAA7-BEF6E41CE8BE}">
  <dimension ref="A1:BV57"/>
  <sheetViews>
    <sheetView zoomScale="110" zoomScaleNormal="110" workbookViewId="0">
      <selection activeCell="AU8" sqref="AU8"/>
    </sheetView>
  </sheetViews>
  <sheetFormatPr defaultColWidth="4.08984375" defaultRowHeight="15" customHeight="1" x14ac:dyDescent="0.3"/>
  <cols>
    <col min="1" max="1" width="4.08984375" style="11"/>
    <col min="2" max="4" width="4.08984375" style="11" customWidth="1"/>
    <col min="5" max="13" width="4.08984375" style="11"/>
    <col min="14" max="14" width="4.08984375" style="11" customWidth="1"/>
    <col min="15" max="17" width="4.08984375" style="11"/>
    <col min="18" max="18" width="6.6328125" style="11" bestFit="1" customWidth="1"/>
    <col min="19" max="19" width="4.08984375" style="11"/>
    <col min="20" max="20" width="4.08984375" style="11" customWidth="1"/>
    <col min="21" max="21" width="4.08984375" style="11"/>
    <col min="22" max="22" width="4.08984375" style="11" customWidth="1"/>
    <col min="23" max="25" width="4.08984375" style="11"/>
    <col min="26" max="26" width="4.08984375" style="11" customWidth="1"/>
    <col min="27" max="61" width="4.08984375" style="11"/>
    <col min="62" max="62" width="4.08984375" style="11" customWidth="1"/>
    <col min="63" max="16384" width="4.08984375" style="11"/>
  </cols>
  <sheetData>
    <row r="1" spans="1:74" s="109" customFormat="1" ht="21" x14ac:dyDescent="0.5">
      <c r="A1" s="106" t="s">
        <v>102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  <c r="P1" s="110" t="s">
        <v>103</v>
      </c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2"/>
      <c r="AE1" s="113" t="s">
        <v>105</v>
      </c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5"/>
      <c r="AT1" s="116" t="s">
        <v>104</v>
      </c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8"/>
      <c r="BI1" s="119" t="s">
        <v>108</v>
      </c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1"/>
    </row>
    <row r="2" spans="1:74" s="103" customFormat="1" ht="15" customHeight="1" x14ac:dyDescent="0.35">
      <c r="A2" s="101" t="s">
        <v>106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P2" s="101" t="s">
        <v>106</v>
      </c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E2" s="101" t="s">
        <v>106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T2" s="101" t="s">
        <v>106</v>
      </c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I2" s="101" t="s">
        <v>109</v>
      </c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</row>
    <row r="3" spans="1:74" ht="15" customHeight="1" x14ac:dyDescent="0.3">
      <c r="A3" s="83">
        <v>1</v>
      </c>
      <c r="B3" s="75" t="str">
        <f>'⚙ Configure'!B13</f>
        <v>Not affected</v>
      </c>
      <c r="C3" s="76"/>
      <c r="D3" s="76"/>
      <c r="E3" s="76"/>
      <c r="F3" s="76"/>
      <c r="G3" s="76"/>
      <c r="H3" s="76"/>
      <c r="I3" s="76"/>
      <c r="J3" s="76"/>
      <c r="K3" s="78"/>
      <c r="L3" s="78"/>
      <c r="M3" s="79"/>
      <c r="N3" s="81"/>
      <c r="P3" s="85">
        <v>1</v>
      </c>
      <c r="Q3" s="75" t="str">
        <f>IF(EXACT('⚙ Configure'!B26,""),"",'⚙ Configure'!B26)</f>
        <v>No financial loss</v>
      </c>
      <c r="R3" s="76"/>
      <c r="S3" s="76"/>
      <c r="T3" s="76"/>
      <c r="U3" s="76"/>
      <c r="V3" s="76"/>
      <c r="W3" s="76"/>
      <c r="X3" s="76"/>
      <c r="Y3" s="76"/>
      <c r="Z3" s="78"/>
      <c r="AA3" s="78"/>
      <c r="AB3" s="79"/>
      <c r="AC3" s="99"/>
      <c r="AE3" s="87">
        <v>1</v>
      </c>
      <c r="AF3" s="75" t="str">
        <f>'⚙ Configure'!Q13</f>
        <v>No Impact</v>
      </c>
      <c r="AG3" s="76"/>
      <c r="AH3" s="76"/>
      <c r="AI3" s="76"/>
      <c r="AJ3" s="76"/>
      <c r="AK3" s="76"/>
      <c r="AL3" s="76"/>
      <c r="AM3" s="76"/>
      <c r="AN3" s="76"/>
      <c r="AO3" s="78"/>
      <c r="AP3" s="78"/>
      <c r="AQ3" s="79"/>
      <c r="AR3" s="90"/>
      <c r="AT3" s="96">
        <v>1</v>
      </c>
      <c r="AU3" s="75" t="str">
        <f>IF(EXACT('⚙ Configure'!Q26,""),"",'⚙ Configure'!Q26)</f>
        <v>No Impact</v>
      </c>
      <c r="AV3" s="76"/>
      <c r="AW3" s="76"/>
      <c r="AX3" s="76"/>
      <c r="AY3" s="76"/>
      <c r="AZ3" s="76"/>
      <c r="BA3" s="76"/>
      <c r="BB3" s="76"/>
      <c r="BC3" s="76"/>
      <c r="BD3" s="78"/>
      <c r="BE3" s="78"/>
      <c r="BF3" s="79"/>
      <c r="BG3" s="94"/>
      <c r="BI3" s="91">
        <v>1</v>
      </c>
      <c r="BJ3" s="104" t="s">
        <v>2</v>
      </c>
      <c r="BK3" s="105"/>
      <c r="BL3" s="105"/>
      <c r="BM3" s="42"/>
      <c r="BN3" s="42"/>
      <c r="BO3" s="42"/>
      <c r="BP3" s="42"/>
      <c r="BQ3" s="42"/>
      <c r="BR3" s="42"/>
      <c r="BS3" s="77"/>
      <c r="BT3" s="77"/>
      <c r="BU3" s="69"/>
      <c r="BV3" s="93"/>
    </row>
    <row r="4" spans="1:74" ht="15" customHeight="1" x14ac:dyDescent="0.3">
      <c r="A4" s="84">
        <v>2</v>
      </c>
      <c r="B4" s="41" t="str">
        <f>'⚙ Configure'!B12</f>
        <v>Not aware</v>
      </c>
      <c r="C4" s="42"/>
      <c r="D4" s="42"/>
      <c r="E4" s="42"/>
      <c r="F4" s="42"/>
      <c r="G4" s="42"/>
      <c r="H4" s="42"/>
      <c r="I4" s="42"/>
      <c r="J4" s="42"/>
      <c r="K4" s="77"/>
      <c r="L4" s="77"/>
      <c r="M4" s="69"/>
      <c r="N4" s="81"/>
      <c r="P4" s="86">
        <v>2</v>
      </c>
      <c r="Q4" s="41" t="str">
        <f>IF(EXACT('⚙ Configure'!B25,""),"",'⚙ Configure'!B25)</f>
        <v>upto £1,000 loss</v>
      </c>
      <c r="R4" s="42"/>
      <c r="S4" s="42"/>
      <c r="T4" s="42"/>
      <c r="U4" s="42"/>
      <c r="V4" s="42"/>
      <c r="W4" s="42"/>
      <c r="X4" s="42"/>
      <c r="Y4" s="42"/>
      <c r="Z4" s="77"/>
      <c r="AA4" s="77"/>
      <c r="AB4" s="69"/>
      <c r="AC4" s="99"/>
      <c r="AE4" s="88">
        <v>2</v>
      </c>
      <c r="AF4" s="41" t="str">
        <f>'⚙ Configure'!Q12</f>
        <v>Elevated levels of complaint</v>
      </c>
      <c r="AG4" s="42"/>
      <c r="AH4" s="42"/>
      <c r="AI4" s="42"/>
      <c r="AJ4" s="42"/>
      <c r="AK4" s="42"/>
      <c r="AL4" s="42"/>
      <c r="AM4" s="42"/>
      <c r="AN4" s="42"/>
      <c r="AO4" s="77"/>
      <c r="AP4" s="77"/>
      <c r="AQ4" s="69"/>
      <c r="AR4" s="90"/>
      <c r="AT4" s="97">
        <v>2</v>
      </c>
      <c r="AU4" s="41" t="str">
        <f>IF(EXACT('⚙ Configure'!Q25,""),"",'⚙ Configure'!Q25)</f>
        <v>Goals affected / near-miss events</v>
      </c>
      <c r="AV4" s="42"/>
      <c r="AW4" s="42"/>
      <c r="AX4" s="42"/>
      <c r="AY4" s="42"/>
      <c r="AZ4" s="42"/>
      <c r="BA4" s="42"/>
      <c r="BB4" s="42"/>
      <c r="BC4" s="42"/>
      <c r="BD4" s="77"/>
      <c r="BE4" s="77"/>
      <c r="BF4" s="69"/>
      <c r="BG4" s="94"/>
      <c r="BI4" s="92">
        <v>2</v>
      </c>
      <c r="BJ4" s="104" t="s">
        <v>10</v>
      </c>
      <c r="BK4" s="105"/>
      <c r="BL4" s="105"/>
      <c r="BM4" s="42"/>
      <c r="BN4" s="42"/>
      <c r="BO4" s="42"/>
      <c r="BP4" s="42"/>
      <c r="BQ4" s="42"/>
      <c r="BR4" s="42"/>
      <c r="BS4" s="77"/>
      <c r="BT4" s="77"/>
      <c r="BU4" s="69"/>
      <c r="BV4" s="93"/>
    </row>
    <row r="5" spans="1:74" ht="15" customHeight="1" x14ac:dyDescent="0.3">
      <c r="A5" s="84">
        <v>3</v>
      </c>
      <c r="B5" s="41" t="str">
        <f>'⚙ Configure'!B11</f>
        <v>Not concerned</v>
      </c>
      <c r="C5" s="42"/>
      <c r="D5" s="42"/>
      <c r="E5" s="42"/>
      <c r="F5" s="42"/>
      <c r="G5" s="42"/>
      <c r="H5" s="42"/>
      <c r="I5" s="42"/>
      <c r="J5" s="42"/>
      <c r="K5" s="77"/>
      <c r="L5" s="77"/>
      <c r="M5" s="69"/>
      <c r="N5" s="81"/>
      <c r="P5" s="86">
        <v>3</v>
      </c>
      <c r="Q5" s="41" t="str">
        <f>IF(EXACT('⚙ Configure'!B24,""),"",'⚙ Configure'!B24)</f>
        <v>upto £5,000 loss</v>
      </c>
      <c r="R5" s="42"/>
      <c r="S5" s="42"/>
      <c r="T5" s="42"/>
      <c r="U5" s="42"/>
      <c r="V5" s="42"/>
      <c r="W5" s="42"/>
      <c r="X5" s="42"/>
      <c r="Y5" s="42"/>
      <c r="Z5" s="77"/>
      <c r="AA5" s="77"/>
      <c r="AB5" s="69"/>
      <c r="AC5" s="99"/>
      <c r="AE5" s="88">
        <v>3</v>
      </c>
      <c r="AF5" s="41" t="str">
        <f>'⚙ Configure'!Q11</f>
        <v>Instances of localised protest</v>
      </c>
      <c r="AG5" s="42"/>
      <c r="AH5" s="42"/>
      <c r="AI5" s="42"/>
      <c r="AJ5" s="42"/>
      <c r="AK5" s="42"/>
      <c r="AL5" s="42"/>
      <c r="AM5" s="42"/>
      <c r="AN5" s="42"/>
      <c r="AO5" s="77"/>
      <c r="AP5" s="77"/>
      <c r="AQ5" s="69"/>
      <c r="AR5" s="90"/>
      <c r="AT5" s="97">
        <v>3</v>
      </c>
      <c r="AU5" s="41" t="str">
        <f>IF(EXACT('⚙ Configure'!Q24,""),"",'⚙ Configure'!Q24)</f>
        <v/>
      </c>
      <c r="AV5" s="42"/>
      <c r="AW5" s="42"/>
      <c r="AX5" s="42"/>
      <c r="AY5" s="42"/>
      <c r="AZ5" s="42"/>
      <c r="BA5" s="42"/>
      <c r="BB5" s="42"/>
      <c r="BC5" s="42"/>
      <c r="BD5" s="77"/>
      <c r="BE5" s="77"/>
      <c r="BF5" s="69"/>
      <c r="BG5" s="94"/>
      <c r="BI5" s="92">
        <v>3</v>
      </c>
      <c r="BJ5" s="104" t="s">
        <v>1</v>
      </c>
      <c r="BK5" s="105"/>
      <c r="BL5" s="105"/>
      <c r="BM5" s="42"/>
      <c r="BN5" s="42"/>
      <c r="BO5" s="42"/>
      <c r="BP5" s="42"/>
      <c r="BQ5" s="42"/>
      <c r="BR5" s="42"/>
      <c r="BS5" s="77"/>
      <c r="BT5" s="77"/>
      <c r="BU5" s="69"/>
      <c r="BV5" s="93"/>
    </row>
    <row r="6" spans="1:74" ht="15" customHeight="1" x14ac:dyDescent="0.3">
      <c r="A6" s="84">
        <v>4</v>
      </c>
      <c r="B6" s="41" t="str">
        <f>'⚙ Configure'!B10</f>
        <v>Some complaints</v>
      </c>
      <c r="C6" s="42"/>
      <c r="D6" s="42"/>
      <c r="E6" s="42"/>
      <c r="F6" s="42"/>
      <c r="G6" s="42"/>
      <c r="H6" s="42"/>
      <c r="I6" s="42"/>
      <c r="J6" s="42"/>
      <c r="K6" s="77"/>
      <c r="L6" s="77"/>
      <c r="M6" s="69"/>
      <c r="N6" s="81"/>
      <c r="P6" s="86">
        <v>4</v>
      </c>
      <c r="Q6" s="41" t="str">
        <f>IF(EXACT('⚙ Configure'!B23,""),"",'⚙ Configure'!B23)</f>
        <v>upto £25,000 loss</v>
      </c>
      <c r="R6" s="42"/>
      <c r="S6" s="42"/>
      <c r="T6" s="42"/>
      <c r="U6" s="42"/>
      <c r="V6" s="42"/>
      <c r="W6" s="42"/>
      <c r="X6" s="42"/>
      <c r="Y6" s="42"/>
      <c r="Z6" s="77"/>
      <c r="AA6" s="77"/>
      <c r="AB6" s="69"/>
      <c r="AC6" s="99"/>
      <c r="AE6" s="88">
        <v>4</v>
      </c>
      <c r="AF6" s="41" t="str">
        <f>'⚙ Configure'!Q10</f>
        <v xml:space="preserve">PR mobilisation required </v>
      </c>
      <c r="AG6" s="42"/>
      <c r="AH6" s="42"/>
      <c r="AI6" s="42"/>
      <c r="AJ6" s="42"/>
      <c r="AK6" s="42"/>
      <c r="AL6" s="42"/>
      <c r="AM6" s="42"/>
      <c r="AN6" s="42"/>
      <c r="AO6" s="77"/>
      <c r="AP6" s="77"/>
      <c r="AQ6" s="69"/>
      <c r="AR6" s="90"/>
      <c r="AT6" s="97">
        <v>4</v>
      </c>
      <c r="AU6" s="41" t="str">
        <f>IF(EXACT('⚙ Configure'!Q23,""),"",'⚙ Configure'!Q23)</f>
        <v>Missed Objectives / breach events</v>
      </c>
      <c r="AV6" s="42"/>
      <c r="AW6" s="42"/>
      <c r="AX6" s="42"/>
      <c r="AY6" s="42"/>
      <c r="AZ6" s="42"/>
      <c r="BA6" s="42"/>
      <c r="BB6" s="42"/>
      <c r="BC6" s="42"/>
      <c r="BD6" s="77"/>
      <c r="BE6" s="77"/>
      <c r="BF6" s="69"/>
      <c r="BG6" s="94"/>
      <c r="BI6" s="92">
        <v>4</v>
      </c>
      <c r="BJ6" s="104" t="s">
        <v>7</v>
      </c>
      <c r="BK6" s="105"/>
      <c r="BL6" s="105"/>
      <c r="BM6" s="42"/>
      <c r="BN6" s="42"/>
      <c r="BO6" s="42"/>
      <c r="BP6" s="42"/>
      <c r="BQ6" s="42"/>
      <c r="BR6" s="42"/>
      <c r="BS6" s="77"/>
      <c r="BT6" s="77"/>
      <c r="BU6" s="69"/>
      <c r="BV6" s="93"/>
    </row>
    <row r="7" spans="1:74" ht="15" customHeight="1" x14ac:dyDescent="0.3">
      <c r="A7" s="84">
        <v>5</v>
      </c>
      <c r="B7" s="41" t="str">
        <f>'⚙ Configure'!B9</f>
        <v>Upto 1000 (10%) complaints</v>
      </c>
      <c r="C7" s="42"/>
      <c r="D7" s="42"/>
      <c r="E7" s="42"/>
      <c r="F7" s="42"/>
      <c r="G7" s="42"/>
      <c r="H7" s="42"/>
      <c r="I7" s="42"/>
      <c r="J7" s="42"/>
      <c r="K7" s="77"/>
      <c r="L7" s="77"/>
      <c r="M7" s="69"/>
      <c r="N7" s="81"/>
      <c r="P7" s="86">
        <v>5</v>
      </c>
      <c r="Q7" s="41" t="str">
        <f>IF(EXACT('⚙ Configure'!B22,""),"",'⚙ Configure'!B22)</f>
        <v>upto £50,000 loss</v>
      </c>
      <c r="R7" s="42"/>
      <c r="S7" s="42"/>
      <c r="T7" s="42"/>
      <c r="U7" s="42"/>
      <c r="V7" s="42"/>
      <c r="W7" s="42"/>
      <c r="X7" s="42"/>
      <c r="Y7" s="42"/>
      <c r="Z7" s="77"/>
      <c r="AA7" s="77"/>
      <c r="AB7" s="69"/>
      <c r="AC7" s="99"/>
      <c r="AE7" s="88">
        <v>5</v>
      </c>
      <c r="AF7" s="41" t="str">
        <f>'⚙ Configure'!Q9</f>
        <v>Adverse report in local/industry press</v>
      </c>
      <c r="AG7" s="42"/>
      <c r="AH7" s="42"/>
      <c r="AI7" s="42"/>
      <c r="AJ7" s="42"/>
      <c r="AK7" s="42"/>
      <c r="AL7" s="42"/>
      <c r="AM7" s="42"/>
      <c r="AN7" s="42"/>
      <c r="AO7" s="77"/>
      <c r="AP7" s="77"/>
      <c r="AQ7" s="69"/>
      <c r="AR7" s="90"/>
      <c r="AT7" s="97">
        <v>5</v>
      </c>
      <c r="AU7" s="41" t="str">
        <f>IF(EXACT('⚙ Configure'!Q22,""),"",'⚙ Configure'!Q22)</f>
        <v/>
      </c>
      <c r="AV7" s="42"/>
      <c r="AW7" s="42"/>
      <c r="AX7" s="42"/>
      <c r="AY7" s="42"/>
      <c r="AZ7" s="42"/>
      <c r="BA7" s="42"/>
      <c r="BB7" s="42"/>
      <c r="BC7" s="42"/>
      <c r="BD7" s="77"/>
      <c r="BE7" s="77"/>
      <c r="BF7" s="69"/>
      <c r="BG7" s="94"/>
      <c r="BI7" s="92">
        <v>5</v>
      </c>
      <c r="BJ7" s="104" t="s">
        <v>3</v>
      </c>
      <c r="BK7" s="105"/>
      <c r="BL7" s="105"/>
      <c r="BM7" s="42"/>
      <c r="BN7" s="42"/>
      <c r="BO7" s="42"/>
      <c r="BP7" s="42"/>
      <c r="BQ7" s="42"/>
      <c r="BR7" s="42"/>
      <c r="BS7" s="77"/>
      <c r="BT7" s="77"/>
      <c r="BU7" s="69"/>
      <c r="BV7" s="93"/>
    </row>
    <row r="8" spans="1:74" ht="15" customHeight="1" x14ac:dyDescent="0.3">
      <c r="A8" s="84">
        <v>6</v>
      </c>
      <c r="B8" s="41" t="str">
        <f>'⚙ Configure'!B8</f>
        <v>Over 1000 (10%) complaints</v>
      </c>
      <c r="C8" s="42"/>
      <c r="D8" s="42"/>
      <c r="E8" s="42"/>
      <c r="F8" s="42"/>
      <c r="G8" s="42"/>
      <c r="H8" s="42"/>
      <c r="I8" s="42"/>
      <c r="J8" s="42"/>
      <c r="K8" s="77"/>
      <c r="L8" s="77"/>
      <c r="M8" s="69"/>
      <c r="N8" s="81"/>
      <c r="P8" s="86">
        <v>6</v>
      </c>
      <c r="Q8" s="41" t="str">
        <f>IF(EXACT('⚙ Configure'!B21,""),"",'⚙ Configure'!B21)</f>
        <v>upto £100,000 loss</v>
      </c>
      <c r="R8" s="42"/>
      <c r="S8" s="42"/>
      <c r="T8" s="42"/>
      <c r="U8" s="42"/>
      <c r="V8" s="42"/>
      <c r="W8" s="42"/>
      <c r="X8" s="42"/>
      <c r="Y8" s="42"/>
      <c r="Z8" s="77"/>
      <c r="AA8" s="77"/>
      <c r="AB8" s="69"/>
      <c r="AC8" s="99"/>
      <c r="AE8" s="88">
        <v>6</v>
      </c>
      <c r="AF8" s="41" t="str">
        <f>'⚙ Configure'!Q8</f>
        <v>Protest trending on social media</v>
      </c>
      <c r="AG8" s="42"/>
      <c r="AH8" s="42"/>
      <c r="AI8" s="42"/>
      <c r="AJ8" s="42"/>
      <c r="AK8" s="42"/>
      <c r="AL8" s="42"/>
      <c r="AM8" s="42"/>
      <c r="AN8" s="42"/>
      <c r="AO8" s="77"/>
      <c r="AP8" s="77"/>
      <c r="AQ8" s="69"/>
      <c r="AR8" s="90"/>
      <c r="AT8" s="97">
        <v>6</v>
      </c>
      <c r="AU8" s="41" t="str">
        <f>IF(EXACT('⚙ Configure'!Q21,""),"",'⚙ Configure'!Q21)</f>
        <v>Short-term Harm / regulator censure</v>
      </c>
      <c r="AV8" s="42"/>
      <c r="AW8" s="42"/>
      <c r="AX8" s="42"/>
      <c r="AY8" s="42"/>
      <c r="AZ8" s="42"/>
      <c r="BA8" s="42"/>
      <c r="BB8" s="42"/>
      <c r="BC8" s="42"/>
      <c r="BD8" s="77"/>
      <c r="BE8" s="77"/>
      <c r="BF8" s="69"/>
      <c r="BG8" s="94"/>
      <c r="BI8" s="92">
        <v>6</v>
      </c>
      <c r="BJ8" s="104" t="s">
        <v>8</v>
      </c>
      <c r="BK8" s="105"/>
      <c r="BL8" s="105"/>
      <c r="BM8" s="42"/>
      <c r="BN8" s="42"/>
      <c r="BO8" s="42"/>
      <c r="BP8" s="42"/>
      <c r="BQ8" s="42"/>
      <c r="BR8" s="42"/>
      <c r="BS8" s="77"/>
      <c r="BT8" s="77"/>
      <c r="BU8" s="69"/>
      <c r="BV8" s="93"/>
    </row>
    <row r="9" spans="1:74" ht="15" customHeight="1" x14ac:dyDescent="0.3">
      <c r="A9" s="84">
        <v>7</v>
      </c>
      <c r="B9" s="41" t="str">
        <f>'⚙ Configure'!B7</f>
        <v>Upto 1000 (10%) cancel/leave</v>
      </c>
      <c r="C9" s="42"/>
      <c r="D9" s="42"/>
      <c r="E9" s="42"/>
      <c r="F9" s="42"/>
      <c r="G9" s="42"/>
      <c r="H9" s="42"/>
      <c r="I9" s="42"/>
      <c r="J9" s="42"/>
      <c r="K9" s="77"/>
      <c r="L9" s="77"/>
      <c r="M9" s="69"/>
      <c r="N9" s="81"/>
      <c r="P9" s="86">
        <v>7</v>
      </c>
      <c r="Q9" s="41" t="str">
        <f>IF(EXACT('⚙ Configure'!B20,""),"",'⚙ Configure'!B20)</f>
        <v>upto £200,000 loss</v>
      </c>
      <c r="R9" s="42"/>
      <c r="S9" s="42"/>
      <c r="T9" s="42"/>
      <c r="U9" s="42"/>
      <c r="V9" s="42"/>
      <c r="W9" s="42"/>
      <c r="X9" s="42"/>
      <c r="Y9" s="42"/>
      <c r="Z9" s="77"/>
      <c r="AA9" s="77"/>
      <c r="AB9" s="69"/>
      <c r="AC9" s="99"/>
      <c r="AE9" s="88">
        <v>7</v>
      </c>
      <c r="AF9" s="41" t="str">
        <f>'⚙ Configure'!Q7</f>
        <v>Adverse reporting in national press</v>
      </c>
      <c r="AG9" s="42"/>
      <c r="AH9" s="42"/>
      <c r="AI9" s="42"/>
      <c r="AJ9" s="42"/>
      <c r="AK9" s="42"/>
      <c r="AL9" s="42"/>
      <c r="AM9" s="42"/>
      <c r="AN9" s="42"/>
      <c r="AO9" s="77"/>
      <c r="AP9" s="77"/>
      <c r="AQ9" s="69"/>
      <c r="AR9" s="90"/>
      <c r="AT9" s="97">
        <v>7</v>
      </c>
      <c r="AU9" s="41" t="str">
        <f>IF(EXACT('⚙ Configure'!Q20,""),"",'⚙ Configure'!Q20)</f>
        <v/>
      </c>
      <c r="AV9" s="42"/>
      <c r="AW9" s="42"/>
      <c r="AX9" s="42"/>
      <c r="AY9" s="42"/>
      <c r="AZ9" s="42"/>
      <c r="BA9" s="42"/>
      <c r="BB9" s="42"/>
      <c r="BC9" s="42"/>
      <c r="BD9" s="77"/>
      <c r="BE9" s="77"/>
      <c r="BF9" s="69"/>
      <c r="BG9" s="94"/>
      <c r="BI9" s="92">
        <v>7</v>
      </c>
      <c r="BJ9" s="104" t="s">
        <v>4</v>
      </c>
      <c r="BK9" s="105"/>
      <c r="BL9" s="105"/>
      <c r="BM9" s="42"/>
      <c r="BN9" s="42"/>
      <c r="BO9" s="42"/>
      <c r="BP9" s="42"/>
      <c r="BQ9" s="42"/>
      <c r="BR9" s="42"/>
      <c r="BS9" s="77"/>
      <c r="BT9" s="77"/>
      <c r="BU9" s="69"/>
      <c r="BV9" s="93"/>
    </row>
    <row r="10" spans="1:74" ht="15" customHeight="1" x14ac:dyDescent="0.3">
      <c r="A10" s="84">
        <v>8</v>
      </c>
      <c r="B10" s="41" t="str">
        <f>'⚙ Configure'!B6</f>
        <v>Over 1000 (10%) cancel/leave</v>
      </c>
      <c r="C10" s="42"/>
      <c r="D10" s="42"/>
      <c r="E10" s="42"/>
      <c r="F10" s="42"/>
      <c r="G10" s="42"/>
      <c r="H10" s="42"/>
      <c r="I10" s="42"/>
      <c r="J10" s="42"/>
      <c r="K10" s="77"/>
      <c r="L10" s="77"/>
      <c r="M10" s="69"/>
      <c r="N10" s="81"/>
      <c r="P10" s="86">
        <v>8</v>
      </c>
      <c r="Q10" s="41" t="str">
        <f>IF(EXACT('⚙ Configure'!B19,""),"",'⚙ Configure'!B19)</f>
        <v>upto £500,000 loss</v>
      </c>
      <c r="R10" s="42"/>
      <c r="S10" s="42"/>
      <c r="T10" s="42"/>
      <c r="U10" s="42"/>
      <c r="V10" s="42"/>
      <c r="W10" s="42"/>
      <c r="X10" s="42"/>
      <c r="Y10" s="42"/>
      <c r="Z10" s="77"/>
      <c r="AA10" s="77"/>
      <c r="AB10" s="69"/>
      <c r="AC10" s="99"/>
      <c r="AE10" s="88">
        <v>8</v>
      </c>
      <c r="AF10" s="41" t="str">
        <f>'⚙ Configure'!Q6</f>
        <v>C-Level PR response required</v>
      </c>
      <c r="AG10" s="42"/>
      <c r="AH10" s="42"/>
      <c r="AI10" s="42"/>
      <c r="AJ10" s="42"/>
      <c r="AK10" s="42"/>
      <c r="AL10" s="42"/>
      <c r="AM10" s="42"/>
      <c r="AN10" s="42"/>
      <c r="AO10" s="77"/>
      <c r="AP10" s="77"/>
      <c r="AQ10" s="69"/>
      <c r="AR10" s="90"/>
      <c r="AT10" s="97">
        <v>8</v>
      </c>
      <c r="AU10" s="41" t="str">
        <f>IF(EXACT('⚙ Configure'!Q19,""),"",'⚙ Configure'!Q19)</f>
        <v>Long-term Harm / regulatory fines</v>
      </c>
      <c r="AV10" s="42"/>
      <c r="AW10" s="42"/>
      <c r="AX10" s="42"/>
      <c r="AY10" s="42"/>
      <c r="AZ10" s="42"/>
      <c r="BA10" s="42"/>
      <c r="BB10" s="42"/>
      <c r="BC10" s="42"/>
      <c r="BD10" s="77"/>
      <c r="BE10" s="77"/>
      <c r="BF10" s="69"/>
      <c r="BG10" s="94"/>
      <c r="BI10" s="92">
        <v>8</v>
      </c>
      <c r="BJ10" s="104" t="s">
        <v>9</v>
      </c>
      <c r="BK10" s="105"/>
      <c r="BL10" s="105"/>
      <c r="BM10" s="42"/>
      <c r="BN10" s="42"/>
      <c r="BO10" s="42"/>
      <c r="BP10" s="42"/>
      <c r="BQ10" s="42"/>
      <c r="BR10" s="42"/>
      <c r="BS10" s="77"/>
      <c r="BT10" s="77"/>
      <c r="BU10" s="69"/>
      <c r="BV10" s="93"/>
    </row>
    <row r="11" spans="1:74" ht="15" customHeight="1" x14ac:dyDescent="0.3">
      <c r="A11" s="84">
        <v>9</v>
      </c>
      <c r="B11" s="41" t="str">
        <f>'⚙ Configure'!B5</f>
        <v>Majority cancel/leave</v>
      </c>
      <c r="C11" s="42"/>
      <c r="D11" s="42"/>
      <c r="E11" s="42"/>
      <c r="F11" s="42"/>
      <c r="G11" s="42"/>
      <c r="H11" s="42"/>
      <c r="I11" s="42"/>
      <c r="J11" s="42"/>
      <c r="K11" s="77"/>
      <c r="L11" s="77"/>
      <c r="M11" s="69"/>
      <c r="N11" s="81"/>
      <c r="P11" s="86">
        <v>9</v>
      </c>
      <c r="Q11" s="41" t="str">
        <f>IF(EXACT('⚙ Configure'!B18,""),"",'⚙ Configure'!B18)</f>
        <v>upto £1,000,000 loss</v>
      </c>
      <c r="R11" s="42"/>
      <c r="S11" s="42"/>
      <c r="T11" s="42"/>
      <c r="U11" s="42"/>
      <c r="V11" s="42"/>
      <c r="W11" s="42"/>
      <c r="X11" s="42"/>
      <c r="Y11" s="42"/>
      <c r="Z11" s="77"/>
      <c r="AA11" s="77"/>
      <c r="AB11" s="69"/>
      <c r="AC11" s="99"/>
      <c r="AE11" s="88">
        <v>9</v>
      </c>
      <c r="AF11" s="41" t="str">
        <f>'⚙ Configure'!Q5</f>
        <v>Significant long-term brand harm</v>
      </c>
      <c r="AG11" s="42"/>
      <c r="AH11" s="42"/>
      <c r="AI11" s="42"/>
      <c r="AJ11" s="42"/>
      <c r="AK11" s="42"/>
      <c r="AL11" s="42"/>
      <c r="AM11" s="42"/>
      <c r="AN11" s="42"/>
      <c r="AO11" s="77"/>
      <c r="AP11" s="77"/>
      <c r="AQ11" s="69"/>
      <c r="AR11" s="90"/>
      <c r="AT11" s="97">
        <v>9</v>
      </c>
      <c r="AU11" s="41" t="str">
        <f>IF(EXACT('⚙ Configure'!Q18,""),"",'⚙ Configure'!Q18)</f>
        <v>Permanent impact</v>
      </c>
      <c r="AV11" s="42"/>
      <c r="AW11" s="42"/>
      <c r="AX11" s="42"/>
      <c r="AY11" s="42"/>
      <c r="AZ11" s="42"/>
      <c r="BA11" s="42"/>
      <c r="BB11" s="42"/>
      <c r="BC11" s="42"/>
      <c r="BD11" s="77"/>
      <c r="BE11" s="77"/>
      <c r="BF11" s="69"/>
      <c r="BG11" s="94"/>
      <c r="BI11" s="92">
        <v>9</v>
      </c>
      <c r="BJ11" s="104" t="s">
        <v>6</v>
      </c>
      <c r="BK11" s="105"/>
      <c r="BL11" s="105"/>
      <c r="BM11" s="42"/>
      <c r="BN11" s="42"/>
      <c r="BO11" s="42"/>
      <c r="BP11" s="42"/>
      <c r="BQ11" s="42"/>
      <c r="BR11" s="42"/>
      <c r="BS11" s="77"/>
      <c r="BT11" s="77"/>
      <c r="BU11" s="69"/>
      <c r="BV11" s="93"/>
    </row>
    <row r="12" spans="1:74" ht="15" customHeight="1" x14ac:dyDescent="0.3">
      <c r="A12" s="84">
        <v>10</v>
      </c>
      <c r="B12" s="41" t="str">
        <f>'⚙ Configure'!B4</f>
        <v>Mass Exodus - cancel all</v>
      </c>
      <c r="C12" s="42"/>
      <c r="D12" s="42"/>
      <c r="E12" s="42"/>
      <c r="F12" s="42"/>
      <c r="G12" s="42"/>
      <c r="H12" s="42"/>
      <c r="I12" s="42"/>
      <c r="J12" s="42"/>
      <c r="K12" s="77"/>
      <c r="L12" s="77"/>
      <c r="M12" s="69"/>
      <c r="N12" s="81"/>
      <c r="P12" s="86">
        <v>10</v>
      </c>
      <c r="Q12" s="41" t="str">
        <f>IF(EXACT('⚙ Configure'!B17,""),"",'⚙ Configure'!B17)</f>
        <v>Over £1m loss</v>
      </c>
      <c r="R12" s="42"/>
      <c r="S12" s="42"/>
      <c r="T12" s="42"/>
      <c r="U12" s="42"/>
      <c r="V12" s="42"/>
      <c r="W12" s="42"/>
      <c r="X12" s="42"/>
      <c r="Y12" s="42"/>
      <c r="Z12" s="77"/>
      <c r="AA12" s="77"/>
      <c r="AB12" s="69"/>
      <c r="AC12" s="99"/>
      <c r="AE12" s="88">
        <v>10</v>
      </c>
      <c r="AF12" s="41" t="str">
        <f>'⚙ Configure'!Q4</f>
        <v>Permanent brand impact</v>
      </c>
      <c r="AG12" s="42"/>
      <c r="AH12" s="42"/>
      <c r="AI12" s="42"/>
      <c r="AJ12" s="42"/>
      <c r="AK12" s="42"/>
      <c r="AL12" s="42"/>
      <c r="AM12" s="42"/>
      <c r="AN12" s="42"/>
      <c r="AO12" s="77"/>
      <c r="AP12" s="77"/>
      <c r="AQ12" s="69"/>
      <c r="AR12" s="90"/>
      <c r="AT12" s="97">
        <v>10</v>
      </c>
      <c r="AU12" s="41" t="str">
        <f>IF(EXACT('⚙ Configure'!Q17,""),"",'⚙ Configure'!Q17)</f>
        <v>Failure of Company Likely</v>
      </c>
      <c r="AV12" s="42"/>
      <c r="AW12" s="42"/>
      <c r="AX12" s="42"/>
      <c r="AY12" s="42"/>
      <c r="AZ12" s="42"/>
      <c r="BA12" s="42"/>
      <c r="BB12" s="42"/>
      <c r="BC12" s="42"/>
      <c r="BD12" s="77"/>
      <c r="BE12" s="77"/>
      <c r="BF12" s="69"/>
      <c r="BG12" s="94"/>
      <c r="BI12" s="92">
        <v>10</v>
      </c>
      <c r="BJ12" s="104" t="s">
        <v>5</v>
      </c>
      <c r="BK12" s="105"/>
      <c r="BL12" s="105"/>
      <c r="BM12" s="42"/>
      <c r="BN12" s="42"/>
      <c r="BO12" s="42"/>
      <c r="BP12" s="42"/>
      <c r="BQ12" s="42"/>
      <c r="BR12" s="42"/>
      <c r="BS12" s="77"/>
      <c r="BT12" s="77"/>
      <c r="BU12" s="69"/>
      <c r="BV12" s="93"/>
    </row>
    <row r="13" spans="1:74" ht="15" customHeight="1" x14ac:dyDescent="0.3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10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89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8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80"/>
    </row>
    <row r="14" spans="1:74" s="103" customFormat="1" ht="15" customHeight="1" x14ac:dyDescent="0.35">
      <c r="A14" s="101" t="s">
        <v>107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P14" s="101" t="s">
        <v>107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E14" s="101" t="s">
        <v>107</v>
      </c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T14" s="101" t="s">
        <v>107</v>
      </c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I14" s="101" t="s">
        <v>107</v>
      </c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</row>
    <row r="15" spans="1:74" ht="15" customHeight="1" x14ac:dyDescent="0.3">
      <c r="A15" s="83">
        <v>1</v>
      </c>
      <c r="B15" s="40" t="str">
        <f>VLOOKUP($A15,'⚙ Configure'!$A$4:$N$13,COLUMN(A15)-COLUMN($A15)+3,FALSE)</f>
        <v>L</v>
      </c>
      <c r="C15" s="40" t="str">
        <f>VLOOKUP($A15,'⚙ Configure'!$A$4:$N$13,COLUMN(B15)-COLUMN($A15)+3,FALSE)</f>
        <v>L</v>
      </c>
      <c r="D15" s="40" t="str">
        <f>VLOOKUP($A15,'⚙ Configure'!$A$4:$N$13,COLUMN(C15)-COLUMN($A15)+3,FALSE)</f>
        <v>L</v>
      </c>
      <c r="E15" s="40" t="str">
        <f>VLOOKUP($A15,'⚙ Configure'!$A$4:$N$13,COLUMN(D15)-COLUMN($A15)+3,FALSE)</f>
        <v>L</v>
      </c>
      <c r="F15" s="40" t="str">
        <f>VLOOKUP($A15,'⚙ Configure'!$A$4:$N$13,COLUMN(E15)-COLUMN($A15)+3,FALSE)</f>
        <v>L</v>
      </c>
      <c r="G15" s="40" t="str">
        <f>VLOOKUP($A15,'⚙ Configure'!$A$4:$N$13,COLUMN(F15)-COLUMN($A15)+3,FALSE)</f>
        <v>L</v>
      </c>
      <c r="H15" s="40" t="str">
        <f>VLOOKUP($A15,'⚙ Configure'!$A$4:$N$13,COLUMN(G15)-COLUMN($A15)+3,FALSE)</f>
        <v>L</v>
      </c>
      <c r="I15" s="40" t="str">
        <f>VLOOKUP($A15,'⚙ Configure'!$A$4:$N$13,COLUMN(H15)-COLUMN($A15)+3,FALSE)</f>
        <v>L</v>
      </c>
      <c r="J15" s="40" t="str">
        <f>VLOOKUP($A15,'⚙ Configure'!$A$4:$N$13,COLUMN(I15)-COLUMN($A15)+3,FALSE)</f>
        <v>L</v>
      </c>
      <c r="K15" s="40" t="str">
        <f>VLOOKUP($A15,'⚙ Configure'!$A$4:$N$13,COLUMN(J15)-COLUMN($A15)+3,FALSE)</f>
        <v>L</v>
      </c>
      <c r="L15" s="40" t="str">
        <f>VLOOKUP($A15,'⚙ Configure'!$A$4:$N$13,COLUMN(K15)-COLUMN($A15)+3,FALSE)</f>
        <v>L</v>
      </c>
      <c r="M15" s="40" t="str">
        <f>VLOOKUP($A15,'⚙ Configure'!$A$4:$N$13,COLUMN(L15)-COLUMN($A15)+3,FALSE)</f>
        <v>L</v>
      </c>
      <c r="N15" s="81"/>
      <c r="P15" s="85">
        <v>1</v>
      </c>
      <c r="Q15" s="40" t="str">
        <f>VLOOKUP($P15,'⚙ Configure'!$A$17:$N$26,COLUMN(P15)-COLUMN($P15)+3,FALSE)</f>
        <v>M</v>
      </c>
      <c r="R15" s="40" t="str">
        <f>VLOOKUP($P15,'⚙ Configure'!$A$17:$N$26,COLUMN(Q15)-COLUMN($P15)+3,FALSE)</f>
        <v>M</v>
      </c>
      <c r="S15" s="40" t="str">
        <f>VLOOKUP($P15,'⚙ Configure'!$A$17:$N$26,COLUMN(R15)-COLUMN($P15)+3,FALSE)</f>
        <v>M</v>
      </c>
      <c r="T15" s="40" t="str">
        <f>VLOOKUP($P15,'⚙ Configure'!$A$17:$N$26,COLUMN(S15)-COLUMN($P15)+3,FALSE)</f>
        <v>M</v>
      </c>
      <c r="U15" s="40" t="str">
        <f>VLOOKUP($P15,'⚙ Configure'!$A$17:$N$26,COLUMN(T15)-COLUMN($P15)+3,FALSE)</f>
        <v>L</v>
      </c>
      <c r="V15" s="40" t="str">
        <f>VLOOKUP($P15,'⚙ Configure'!$A$17:$N$26,COLUMN(U15)-COLUMN($P15)+3,FALSE)</f>
        <v>L</v>
      </c>
      <c r="W15" s="40" t="str">
        <f>VLOOKUP($P15,'⚙ Configure'!$A$17:$N$26,COLUMN(V15)-COLUMN($P15)+3,FALSE)</f>
        <v>L</v>
      </c>
      <c r="X15" s="40" t="str">
        <f>VLOOKUP($P15,'⚙ Configure'!$A$17:$N$26,COLUMN(W15)-COLUMN($P15)+3,FALSE)</f>
        <v>L</v>
      </c>
      <c r="Y15" s="40" t="str">
        <f>VLOOKUP($P15,'⚙ Configure'!$A$17:$N$26,COLUMN(X15)-COLUMN($P15)+3,FALSE)</f>
        <v>L</v>
      </c>
      <c r="Z15" s="40" t="str">
        <f>VLOOKUP($P15,'⚙ Configure'!$A$17:$N$26,COLUMN(Y15)-COLUMN($P15)+3,FALSE)</f>
        <v>L</v>
      </c>
      <c r="AA15" s="40" t="str">
        <f>VLOOKUP($P15,'⚙ Configure'!$A$17:$N$26,COLUMN(Z15)-COLUMN($P15)+3,FALSE)</f>
        <v>L</v>
      </c>
      <c r="AB15" s="40" t="str">
        <f>VLOOKUP($P15,'⚙ Configure'!$A$17:$N$26,COLUMN(AA15)-COLUMN($P15)+3,FALSE)</f>
        <v>L</v>
      </c>
      <c r="AC15" s="99"/>
      <c r="AE15" s="87">
        <v>1</v>
      </c>
      <c r="AF15" s="40" t="str">
        <f>VLOOKUP($AE15,'⚙ Configure'!$P$4:$AC$13,COLUMN(AE15)-COLUMN($AE15)+3,FALSE)</f>
        <v>L</v>
      </c>
      <c r="AG15" s="40" t="str">
        <f>VLOOKUP($AE15,'⚙ Configure'!$P$4:$AC$13,COLUMN(AF15)-COLUMN($AE15)+3,FALSE)</f>
        <v>L</v>
      </c>
      <c r="AH15" s="40" t="str">
        <f>VLOOKUP($AE15,'⚙ Configure'!$P$4:$AC$13,COLUMN(AG15)-COLUMN($AE15)+3,FALSE)</f>
        <v>L</v>
      </c>
      <c r="AI15" s="40" t="str">
        <f>VLOOKUP($AE15,'⚙ Configure'!$P$4:$AC$13,COLUMN(AH15)-COLUMN($AE15)+3,FALSE)</f>
        <v>L</v>
      </c>
      <c r="AJ15" s="40" t="str">
        <f>VLOOKUP($AE15,'⚙ Configure'!$P$4:$AC$13,COLUMN(AI15)-COLUMN($AE15)+3,FALSE)</f>
        <v>L</v>
      </c>
      <c r="AK15" s="40" t="str">
        <f>VLOOKUP($AE15,'⚙ Configure'!$P$4:$AC$13,COLUMN(AJ15)-COLUMN($AE15)+3,FALSE)</f>
        <v>L</v>
      </c>
      <c r="AL15" s="40" t="str">
        <f>VLOOKUP($AE15,'⚙ Configure'!$P$4:$AC$13,COLUMN(AK15)-COLUMN($AE15)+3,FALSE)</f>
        <v>L</v>
      </c>
      <c r="AM15" s="40" t="str">
        <f>VLOOKUP($AE15,'⚙ Configure'!$P$4:$AC$13,COLUMN(AL15)-COLUMN($AE15)+3,FALSE)</f>
        <v>L</v>
      </c>
      <c r="AN15" s="40" t="str">
        <f>VLOOKUP($AE15,'⚙ Configure'!$P$4:$AC$13,COLUMN(AM15)-COLUMN($AE15)+3,FALSE)</f>
        <v>L</v>
      </c>
      <c r="AO15" s="40" t="str">
        <f>VLOOKUP($AE15,'⚙ Configure'!$P$4:$AC$13,COLUMN(AN15)-COLUMN($AE15)+3,FALSE)</f>
        <v>L</v>
      </c>
      <c r="AP15" s="40" t="str">
        <f>VLOOKUP($AE15,'⚙ Configure'!$P$4:$AC$13,COLUMN(AO15)-COLUMN($AE15)+3,FALSE)</f>
        <v>L</v>
      </c>
      <c r="AQ15" s="40" t="str">
        <f>VLOOKUP($AE15,'⚙ Configure'!$P$4:$AC$13,COLUMN(AP15)-COLUMN($AE15)+3,FALSE)</f>
        <v>L</v>
      </c>
      <c r="AR15" s="90"/>
      <c r="AT15" s="96">
        <v>1</v>
      </c>
      <c r="AU15" s="72" t="str">
        <f>VLOOKUP($AT15,'⚙ Configure'!$P$17:$AC$26,COLUMN(AT15)-COLUMN($AT15)+3,FALSE)</f>
        <v>L</v>
      </c>
      <c r="AV15" s="72" t="str">
        <f>VLOOKUP($AT15,'⚙ Configure'!$P$17:$AC$26,COLUMN(AU15)-COLUMN($AT15)+3,FALSE)</f>
        <v>L</v>
      </c>
      <c r="AW15" s="72" t="str">
        <f>VLOOKUP($AT15,'⚙ Configure'!$P$17:$AC$26,COLUMN(AV15)-COLUMN($AT15)+3,FALSE)</f>
        <v>L</v>
      </c>
      <c r="AX15" s="72" t="str">
        <f>VLOOKUP($AT15,'⚙ Configure'!$P$17:$AC$26,COLUMN(AW15)-COLUMN($AT15)+3,FALSE)</f>
        <v>L</v>
      </c>
      <c r="AY15" s="72" t="str">
        <f>VLOOKUP($AT15,'⚙ Configure'!$P$17:$AC$26,COLUMN(AX15)-COLUMN($AT15)+3,FALSE)</f>
        <v>L</v>
      </c>
      <c r="AZ15" s="72" t="str">
        <f>VLOOKUP($AT15,'⚙ Configure'!$P$17:$AC$26,COLUMN(AY15)-COLUMN($AT15)+3,FALSE)</f>
        <v>L</v>
      </c>
      <c r="BA15" s="72" t="str">
        <f>VLOOKUP($AT15,'⚙ Configure'!$P$17:$AC$26,COLUMN(AZ15)-COLUMN($AT15)+3,FALSE)</f>
        <v>L</v>
      </c>
      <c r="BB15" s="72" t="str">
        <f>VLOOKUP($AT15,'⚙ Configure'!$P$17:$AC$26,COLUMN(BA15)-COLUMN($AT15)+3,FALSE)</f>
        <v>L</v>
      </c>
      <c r="BC15" s="72" t="str">
        <f>VLOOKUP($AT15,'⚙ Configure'!$P$17:$AC$26,COLUMN(BB15)-COLUMN($AT15)+3,FALSE)</f>
        <v>L</v>
      </c>
      <c r="BD15" s="72" t="str">
        <f>VLOOKUP($AT15,'⚙ Configure'!$P$17:$AC$26,COLUMN(BC15)-COLUMN($AT15)+3,FALSE)</f>
        <v>H</v>
      </c>
      <c r="BE15" s="72" t="str">
        <f>VLOOKUP($AT15,'⚙ Configure'!$P$17:$AC$26,COLUMN(BD15)-COLUMN($AT15)+3,FALSE)</f>
        <v>H</v>
      </c>
      <c r="BF15" s="72" t="str">
        <f>VLOOKUP($AT15,'⚙ Configure'!$P$17:$AC$26,COLUMN(BE15)-COLUMN($AT15)+3,FALSE)</f>
        <v>H</v>
      </c>
      <c r="BG15" s="94"/>
      <c r="BI15" s="91">
        <v>1</v>
      </c>
      <c r="BJ15" s="73" t="e">
        <f>IF(EXACT('⚙ Configure'!#REF!,""),"",'⚙ Configure'!#REF!)</f>
        <v>#REF!</v>
      </c>
      <c r="BK15" s="73"/>
      <c r="BL15" s="73"/>
      <c r="BM15" s="73"/>
      <c r="BN15" s="73"/>
      <c r="BO15" s="73"/>
      <c r="BP15" s="73"/>
      <c r="BQ15" s="73"/>
      <c r="BR15" s="73"/>
      <c r="BS15" s="74"/>
      <c r="BT15" s="74"/>
      <c r="BU15" s="74"/>
      <c r="BV15" s="93"/>
    </row>
    <row r="16" spans="1:74" ht="15" customHeight="1" x14ac:dyDescent="0.3">
      <c r="A16" s="84">
        <v>2</v>
      </c>
      <c r="B16" s="40" t="str">
        <f>VLOOKUP($A16,'⚙ Configure'!$A$4:$N$13,COLUMN(A16)-COLUMN($A16)+3,FALSE)</f>
        <v>L</v>
      </c>
      <c r="C16" s="40" t="str">
        <f>VLOOKUP($A16,'⚙ Configure'!$A$4:$N$13,COLUMN(B16)-COLUMN($A16)+3,FALSE)</f>
        <v>L</v>
      </c>
      <c r="D16" s="40" t="str">
        <f>VLOOKUP($A16,'⚙ Configure'!$A$4:$N$13,COLUMN(C16)-COLUMN($A16)+3,FALSE)</f>
        <v>L</v>
      </c>
      <c r="E16" s="40" t="str">
        <f>VLOOKUP($A16,'⚙ Configure'!$A$4:$N$13,COLUMN(D16)-COLUMN($A16)+3,FALSE)</f>
        <v>L</v>
      </c>
      <c r="F16" s="40" t="str">
        <f>VLOOKUP($A16,'⚙ Configure'!$A$4:$N$13,COLUMN(E16)-COLUMN($A16)+3,FALSE)</f>
        <v>L</v>
      </c>
      <c r="G16" s="40" t="str">
        <f>VLOOKUP($A16,'⚙ Configure'!$A$4:$N$13,COLUMN(F16)-COLUMN($A16)+3,FALSE)</f>
        <v>L</v>
      </c>
      <c r="H16" s="40" t="str">
        <f>VLOOKUP($A16,'⚙ Configure'!$A$4:$N$13,COLUMN(G16)-COLUMN($A16)+3,FALSE)</f>
        <v>L</v>
      </c>
      <c r="I16" s="40" t="str">
        <f>VLOOKUP($A16,'⚙ Configure'!$A$4:$N$13,COLUMN(H16)-COLUMN($A16)+3,FALSE)</f>
        <v>L</v>
      </c>
      <c r="J16" s="40" t="str">
        <f>VLOOKUP($A16,'⚙ Configure'!$A$4:$N$13,COLUMN(I16)-COLUMN($A16)+3,FALSE)</f>
        <v>L</v>
      </c>
      <c r="K16" s="40" t="str">
        <f>VLOOKUP($A16,'⚙ Configure'!$A$4:$N$13,COLUMN(J16)-COLUMN($A16)+3,FALSE)</f>
        <v>L</v>
      </c>
      <c r="L16" s="40" t="str">
        <f>VLOOKUP($A16,'⚙ Configure'!$A$4:$N$13,COLUMN(K16)-COLUMN($A16)+3,FALSE)</f>
        <v>L</v>
      </c>
      <c r="M16" s="40" t="str">
        <f>VLOOKUP($A16,'⚙ Configure'!$A$4:$N$13,COLUMN(L16)-COLUMN($A16)+3,FALSE)</f>
        <v>L</v>
      </c>
      <c r="N16" s="81"/>
      <c r="P16" s="86">
        <v>2</v>
      </c>
      <c r="Q16" s="40" t="str">
        <f>VLOOKUP($P16,'⚙ Configure'!$A$17:$N$26,COLUMN(P16)-COLUMN($P16)+3,FALSE)</f>
        <v>H</v>
      </c>
      <c r="R16" s="40" t="str">
        <f>VLOOKUP($P16,'⚙ Configure'!$A$17:$N$26,COLUMN(Q16)-COLUMN($P16)+3,FALSE)</f>
        <v>H</v>
      </c>
      <c r="S16" s="40" t="str">
        <f>VLOOKUP($P16,'⚙ Configure'!$A$17:$N$26,COLUMN(R16)-COLUMN($P16)+3,FALSE)</f>
        <v>M</v>
      </c>
      <c r="T16" s="40" t="str">
        <f>VLOOKUP($P16,'⚙ Configure'!$A$17:$N$26,COLUMN(S16)-COLUMN($P16)+3,FALSE)</f>
        <v>M</v>
      </c>
      <c r="U16" s="40" t="str">
        <f>VLOOKUP($P16,'⚙ Configure'!$A$17:$N$26,COLUMN(T16)-COLUMN($P16)+3,FALSE)</f>
        <v>M</v>
      </c>
      <c r="V16" s="40" t="str">
        <f>VLOOKUP($P16,'⚙ Configure'!$A$17:$N$26,COLUMN(U16)-COLUMN($P16)+3,FALSE)</f>
        <v>M</v>
      </c>
      <c r="W16" s="40" t="str">
        <f>VLOOKUP($P16,'⚙ Configure'!$A$17:$N$26,COLUMN(V16)-COLUMN($P16)+3,FALSE)</f>
        <v>L</v>
      </c>
      <c r="X16" s="40" t="str">
        <f>VLOOKUP($P16,'⚙ Configure'!$A$17:$N$26,COLUMN(W16)-COLUMN($P16)+3,FALSE)</f>
        <v>L</v>
      </c>
      <c r="Y16" s="40" t="str">
        <f>VLOOKUP($P16,'⚙ Configure'!$A$17:$N$26,COLUMN(X16)-COLUMN($P16)+3,FALSE)</f>
        <v>L</v>
      </c>
      <c r="Z16" s="40" t="str">
        <f>VLOOKUP($P16,'⚙ Configure'!$A$17:$N$26,COLUMN(Y16)-COLUMN($P16)+3,FALSE)</f>
        <v>L</v>
      </c>
      <c r="AA16" s="40" t="str">
        <f>VLOOKUP($P16,'⚙ Configure'!$A$17:$N$26,COLUMN(Z16)-COLUMN($P16)+3,FALSE)</f>
        <v>L</v>
      </c>
      <c r="AB16" s="40" t="str">
        <f>VLOOKUP($P16,'⚙ Configure'!$A$17:$N$26,COLUMN(AA16)-COLUMN($P16)+3,FALSE)</f>
        <v>L</v>
      </c>
      <c r="AC16" s="99"/>
      <c r="AE16" s="88">
        <v>2</v>
      </c>
      <c r="AF16" s="40" t="str">
        <f>VLOOKUP($AE16,'⚙ Configure'!$P$4:$AC$13,COLUMN(AE16)-COLUMN($AE16)+3,FALSE)</f>
        <v>L</v>
      </c>
      <c r="AG16" s="40" t="str">
        <f>VLOOKUP($AE16,'⚙ Configure'!$P$4:$AC$13,COLUMN(AF16)-COLUMN($AE16)+3,FALSE)</f>
        <v>L</v>
      </c>
      <c r="AH16" s="40" t="str">
        <f>VLOOKUP($AE16,'⚙ Configure'!$P$4:$AC$13,COLUMN(AG16)-COLUMN($AE16)+3,FALSE)</f>
        <v>L</v>
      </c>
      <c r="AI16" s="40" t="str">
        <f>VLOOKUP($AE16,'⚙ Configure'!$P$4:$AC$13,COLUMN(AH16)-COLUMN($AE16)+3,FALSE)</f>
        <v>L</v>
      </c>
      <c r="AJ16" s="40" t="str">
        <f>VLOOKUP($AE16,'⚙ Configure'!$P$4:$AC$13,COLUMN(AI16)-COLUMN($AE16)+3,FALSE)</f>
        <v>L</v>
      </c>
      <c r="AK16" s="40" t="str">
        <f>VLOOKUP($AE16,'⚙ Configure'!$P$4:$AC$13,COLUMN(AJ16)-COLUMN($AE16)+3,FALSE)</f>
        <v>L</v>
      </c>
      <c r="AL16" s="40" t="str">
        <f>VLOOKUP($AE16,'⚙ Configure'!$P$4:$AC$13,COLUMN(AK16)-COLUMN($AE16)+3,FALSE)</f>
        <v>L</v>
      </c>
      <c r="AM16" s="40" t="str">
        <f>VLOOKUP($AE16,'⚙ Configure'!$P$4:$AC$13,COLUMN(AL16)-COLUMN($AE16)+3,FALSE)</f>
        <v>L</v>
      </c>
      <c r="AN16" s="40" t="str">
        <f>VLOOKUP($AE16,'⚙ Configure'!$P$4:$AC$13,COLUMN(AM16)-COLUMN($AE16)+3,FALSE)</f>
        <v>L</v>
      </c>
      <c r="AO16" s="40" t="str">
        <f>VLOOKUP($AE16,'⚙ Configure'!$P$4:$AC$13,COLUMN(AN16)-COLUMN($AE16)+3,FALSE)</f>
        <v>L</v>
      </c>
      <c r="AP16" s="40" t="str">
        <f>VLOOKUP($AE16,'⚙ Configure'!$P$4:$AC$13,COLUMN(AO16)-COLUMN($AE16)+3,FALSE)</f>
        <v>L</v>
      </c>
      <c r="AQ16" s="40" t="str">
        <f>VLOOKUP($AE16,'⚙ Configure'!$P$4:$AC$13,COLUMN(AP16)-COLUMN($AE16)+3,FALSE)</f>
        <v>L</v>
      </c>
      <c r="AR16" s="90"/>
      <c r="AT16" s="97">
        <v>2</v>
      </c>
      <c r="AU16" s="72" t="str">
        <f>VLOOKUP($AT16,'⚙ Configure'!$P$17:$AC$26,COLUMN(AT16)-COLUMN($AT16)+3,FALSE)</f>
        <v>L</v>
      </c>
      <c r="AV16" s="72" t="str">
        <f>VLOOKUP($AT16,'⚙ Configure'!$P$17:$AC$26,COLUMN(AU16)-COLUMN($AT16)+3,FALSE)</f>
        <v>L</v>
      </c>
      <c r="AW16" s="72" t="str">
        <f>VLOOKUP($AT16,'⚙ Configure'!$P$17:$AC$26,COLUMN(AV16)-COLUMN($AT16)+3,FALSE)</f>
        <v>L</v>
      </c>
      <c r="AX16" s="72" t="str">
        <f>VLOOKUP($AT16,'⚙ Configure'!$P$17:$AC$26,COLUMN(AW16)-COLUMN($AT16)+3,FALSE)</f>
        <v>L</v>
      </c>
      <c r="AY16" s="72" t="str">
        <f>VLOOKUP($AT16,'⚙ Configure'!$P$17:$AC$26,COLUMN(AX16)-COLUMN($AT16)+3,FALSE)</f>
        <v>L</v>
      </c>
      <c r="AZ16" s="72" t="str">
        <f>VLOOKUP($AT16,'⚙ Configure'!$P$17:$AC$26,COLUMN(AY16)-COLUMN($AT16)+3,FALSE)</f>
        <v>L</v>
      </c>
      <c r="BA16" s="72" t="str">
        <f>VLOOKUP($AT16,'⚙ Configure'!$P$17:$AC$26,COLUMN(AZ16)-COLUMN($AT16)+3,FALSE)</f>
        <v>M</v>
      </c>
      <c r="BB16" s="72" t="str">
        <f>VLOOKUP($AT16,'⚙ Configure'!$P$17:$AC$26,COLUMN(BA16)-COLUMN($AT16)+3,FALSE)</f>
        <v>M</v>
      </c>
      <c r="BC16" s="72" t="str">
        <f>VLOOKUP($AT16,'⚙ Configure'!$P$17:$AC$26,COLUMN(BB16)-COLUMN($AT16)+3,FALSE)</f>
        <v>M</v>
      </c>
      <c r="BD16" s="72" t="str">
        <f>VLOOKUP($AT16,'⚙ Configure'!$P$17:$AC$26,COLUMN(BC16)-COLUMN($AT16)+3,FALSE)</f>
        <v>VH</v>
      </c>
      <c r="BE16" s="72" t="str">
        <f>VLOOKUP($AT16,'⚙ Configure'!$P$17:$AC$26,COLUMN(BD16)-COLUMN($AT16)+3,FALSE)</f>
        <v>VH</v>
      </c>
      <c r="BF16" s="72" t="str">
        <f>VLOOKUP($AT16,'⚙ Configure'!$P$17:$AC$26,COLUMN(BE16)-COLUMN($AT16)+3,FALSE)</f>
        <v>VH</v>
      </c>
      <c r="BG16" s="94"/>
      <c r="BI16" s="92">
        <v>2</v>
      </c>
      <c r="BJ16" s="71" t="e">
        <f>IF(EXACT('⚙ Configure'!#REF!,""),"",'⚙ Configure'!#REF!)</f>
        <v>#REF!</v>
      </c>
      <c r="BK16" s="71"/>
      <c r="BL16" s="71"/>
      <c r="BM16" s="71"/>
      <c r="BN16" s="71"/>
      <c r="BO16" s="71"/>
      <c r="BP16" s="71"/>
      <c r="BQ16" s="71"/>
      <c r="BR16" s="71"/>
      <c r="BS16" s="12"/>
      <c r="BT16" s="12"/>
      <c r="BU16" s="12"/>
      <c r="BV16" s="93"/>
    </row>
    <row r="17" spans="1:74" ht="15" customHeight="1" x14ac:dyDescent="0.3">
      <c r="A17" s="84">
        <v>3</v>
      </c>
      <c r="B17" s="40" t="str">
        <f>VLOOKUP($A17,'⚙ Configure'!$A$4:$N$13,COLUMN(A17)-COLUMN($A17)+3,FALSE)</f>
        <v>M</v>
      </c>
      <c r="C17" s="40" t="str">
        <f>VLOOKUP($A17,'⚙ Configure'!$A$4:$N$13,COLUMN(B17)-COLUMN($A17)+3,FALSE)</f>
        <v>M</v>
      </c>
      <c r="D17" s="40" t="str">
        <f>VLOOKUP($A17,'⚙ Configure'!$A$4:$N$13,COLUMN(C17)-COLUMN($A17)+3,FALSE)</f>
        <v>M</v>
      </c>
      <c r="E17" s="40" t="str">
        <f>VLOOKUP($A17,'⚙ Configure'!$A$4:$N$13,COLUMN(D17)-COLUMN($A17)+3,FALSE)</f>
        <v>L</v>
      </c>
      <c r="F17" s="40" t="str">
        <f>VLOOKUP($A17,'⚙ Configure'!$A$4:$N$13,COLUMN(E17)-COLUMN($A17)+3,FALSE)</f>
        <v>L</v>
      </c>
      <c r="G17" s="40" t="str">
        <f>VLOOKUP($A17,'⚙ Configure'!$A$4:$N$13,COLUMN(F17)-COLUMN($A17)+3,FALSE)</f>
        <v>L</v>
      </c>
      <c r="H17" s="40" t="str">
        <f>VLOOKUP($A17,'⚙ Configure'!$A$4:$N$13,COLUMN(G17)-COLUMN($A17)+3,FALSE)</f>
        <v>L</v>
      </c>
      <c r="I17" s="40" t="str">
        <f>VLOOKUP($A17,'⚙ Configure'!$A$4:$N$13,COLUMN(H17)-COLUMN($A17)+3,FALSE)</f>
        <v>L</v>
      </c>
      <c r="J17" s="40" t="str">
        <f>VLOOKUP($A17,'⚙ Configure'!$A$4:$N$13,COLUMN(I17)-COLUMN($A17)+3,FALSE)</f>
        <v>L</v>
      </c>
      <c r="K17" s="40" t="str">
        <f>VLOOKUP($A17,'⚙ Configure'!$A$4:$N$13,COLUMN(J17)-COLUMN($A17)+3,FALSE)</f>
        <v>L</v>
      </c>
      <c r="L17" s="40" t="str">
        <f>VLOOKUP($A17,'⚙ Configure'!$A$4:$N$13,COLUMN(K17)-COLUMN($A17)+3,FALSE)</f>
        <v>L</v>
      </c>
      <c r="M17" s="40" t="str">
        <f>VLOOKUP($A17,'⚙ Configure'!$A$4:$N$13,COLUMN(L17)-COLUMN($A17)+3,FALSE)</f>
        <v>L</v>
      </c>
      <c r="N17" s="81"/>
      <c r="P17" s="86">
        <v>3</v>
      </c>
      <c r="Q17" s="40" t="str">
        <f>VLOOKUP($P17,'⚙ Configure'!$A$17:$N$26,COLUMN(P17)-COLUMN($P17)+3,FALSE)</f>
        <v>H</v>
      </c>
      <c r="R17" s="40" t="str">
        <f>VLOOKUP($P17,'⚙ Configure'!$A$17:$N$26,COLUMN(Q17)-COLUMN($P17)+3,FALSE)</f>
        <v>H</v>
      </c>
      <c r="S17" s="40" t="str">
        <f>VLOOKUP($P17,'⚙ Configure'!$A$17:$N$26,COLUMN(R17)-COLUMN($P17)+3,FALSE)</f>
        <v>H</v>
      </c>
      <c r="T17" s="40" t="str">
        <f>VLOOKUP($P17,'⚙ Configure'!$A$17:$N$26,COLUMN(S17)-COLUMN($P17)+3,FALSE)</f>
        <v>H</v>
      </c>
      <c r="U17" s="40" t="str">
        <f>VLOOKUP($P17,'⚙ Configure'!$A$17:$N$26,COLUMN(T17)-COLUMN($P17)+3,FALSE)</f>
        <v>M</v>
      </c>
      <c r="V17" s="40" t="str">
        <f>VLOOKUP($P17,'⚙ Configure'!$A$17:$N$26,COLUMN(U17)-COLUMN($P17)+3,FALSE)</f>
        <v>M</v>
      </c>
      <c r="W17" s="40" t="str">
        <f>VLOOKUP($P17,'⚙ Configure'!$A$17:$N$26,COLUMN(V17)-COLUMN($P17)+3,FALSE)</f>
        <v>M</v>
      </c>
      <c r="X17" s="40" t="str">
        <f>VLOOKUP($P17,'⚙ Configure'!$A$17:$N$26,COLUMN(W17)-COLUMN($P17)+3,FALSE)</f>
        <v>M</v>
      </c>
      <c r="Y17" s="40" t="str">
        <f>VLOOKUP($P17,'⚙ Configure'!$A$17:$N$26,COLUMN(X17)-COLUMN($P17)+3,FALSE)</f>
        <v>L</v>
      </c>
      <c r="Z17" s="40" t="str">
        <f>VLOOKUP($P17,'⚙ Configure'!$A$17:$N$26,COLUMN(Y17)-COLUMN($P17)+3,FALSE)</f>
        <v>L</v>
      </c>
      <c r="AA17" s="40" t="str">
        <f>VLOOKUP($P17,'⚙ Configure'!$A$17:$N$26,COLUMN(Z17)-COLUMN($P17)+3,FALSE)</f>
        <v>L</v>
      </c>
      <c r="AB17" s="40" t="str">
        <f>VLOOKUP($P17,'⚙ Configure'!$A$17:$N$26,COLUMN(AA17)-COLUMN($P17)+3,FALSE)</f>
        <v>L</v>
      </c>
      <c r="AC17" s="99"/>
      <c r="AE17" s="88">
        <v>3</v>
      </c>
      <c r="AF17" s="40" t="str">
        <f>VLOOKUP($AE17,'⚙ Configure'!$P$4:$AC$13,COLUMN(AE17)-COLUMN($AE17)+3,FALSE)</f>
        <v>M</v>
      </c>
      <c r="AG17" s="40" t="str">
        <f>VLOOKUP($AE17,'⚙ Configure'!$P$4:$AC$13,COLUMN(AF17)-COLUMN($AE17)+3,FALSE)</f>
        <v>M</v>
      </c>
      <c r="AH17" s="40" t="str">
        <f>VLOOKUP($AE17,'⚙ Configure'!$P$4:$AC$13,COLUMN(AG17)-COLUMN($AE17)+3,FALSE)</f>
        <v>M</v>
      </c>
      <c r="AI17" s="40" t="str">
        <f>VLOOKUP($AE17,'⚙ Configure'!$P$4:$AC$13,COLUMN(AH17)-COLUMN($AE17)+3,FALSE)</f>
        <v>M</v>
      </c>
      <c r="AJ17" s="40" t="str">
        <f>VLOOKUP($AE17,'⚙ Configure'!$P$4:$AC$13,COLUMN(AI17)-COLUMN($AE17)+3,FALSE)</f>
        <v>M</v>
      </c>
      <c r="AK17" s="40" t="str">
        <f>VLOOKUP($AE17,'⚙ Configure'!$P$4:$AC$13,COLUMN(AJ17)-COLUMN($AE17)+3,FALSE)</f>
        <v>M</v>
      </c>
      <c r="AL17" s="40" t="str">
        <f>VLOOKUP($AE17,'⚙ Configure'!$P$4:$AC$13,COLUMN(AK17)-COLUMN($AE17)+3,FALSE)</f>
        <v>M</v>
      </c>
      <c r="AM17" s="40" t="str">
        <f>VLOOKUP($AE17,'⚙ Configure'!$P$4:$AC$13,COLUMN(AL17)-COLUMN($AE17)+3,FALSE)</f>
        <v>M</v>
      </c>
      <c r="AN17" s="40" t="str">
        <f>VLOOKUP($AE17,'⚙ Configure'!$P$4:$AC$13,COLUMN(AM17)-COLUMN($AE17)+3,FALSE)</f>
        <v>M</v>
      </c>
      <c r="AO17" s="40" t="str">
        <f>VLOOKUP($AE17,'⚙ Configure'!$P$4:$AC$13,COLUMN(AN17)-COLUMN($AE17)+3,FALSE)</f>
        <v>M</v>
      </c>
      <c r="AP17" s="40" t="str">
        <f>VLOOKUP($AE17,'⚙ Configure'!$P$4:$AC$13,COLUMN(AO17)-COLUMN($AE17)+3,FALSE)</f>
        <v>M</v>
      </c>
      <c r="AQ17" s="40" t="str">
        <f>VLOOKUP($AE17,'⚙ Configure'!$P$4:$AC$13,COLUMN(AP17)-COLUMN($AE17)+3,FALSE)</f>
        <v>M</v>
      </c>
      <c r="AR17" s="90"/>
      <c r="AT17" s="97">
        <v>3</v>
      </c>
      <c r="AU17" s="72" t="str">
        <f>VLOOKUP($AT17,'⚙ Configure'!$P$17:$AC$26,COLUMN(AT17)-COLUMN($AT17)+3,FALSE)</f>
        <v>L</v>
      </c>
      <c r="AV17" s="72" t="str">
        <f>VLOOKUP($AT17,'⚙ Configure'!$P$17:$AC$26,COLUMN(AU17)-COLUMN($AT17)+3,FALSE)</f>
        <v>L</v>
      </c>
      <c r="AW17" s="72" t="str">
        <f>VLOOKUP($AT17,'⚙ Configure'!$P$17:$AC$26,COLUMN(AV17)-COLUMN($AT17)+3,FALSE)</f>
        <v>L</v>
      </c>
      <c r="AX17" s="72" t="str">
        <f>VLOOKUP($AT17,'⚙ Configure'!$P$17:$AC$26,COLUMN(AW17)-COLUMN($AT17)+3,FALSE)</f>
        <v>L</v>
      </c>
      <c r="AY17" s="72" t="str">
        <f>VLOOKUP($AT17,'⚙ Configure'!$P$17:$AC$26,COLUMN(AX17)-COLUMN($AT17)+3,FALSE)</f>
        <v>L</v>
      </c>
      <c r="AZ17" s="72" t="str">
        <f>VLOOKUP($AT17,'⚙ Configure'!$P$17:$AC$26,COLUMN(AY17)-COLUMN($AT17)+3,FALSE)</f>
        <v>L</v>
      </c>
      <c r="BA17" s="72" t="str">
        <f>VLOOKUP($AT17,'⚙ Configure'!$P$17:$AC$26,COLUMN(AZ17)-COLUMN($AT17)+3,FALSE)</f>
        <v>H</v>
      </c>
      <c r="BB17" s="72" t="str">
        <f>VLOOKUP($AT17,'⚙ Configure'!$P$17:$AC$26,COLUMN(BA17)-COLUMN($AT17)+3,FALSE)</f>
        <v>H</v>
      </c>
      <c r="BC17" s="72" t="str">
        <f>VLOOKUP($AT17,'⚙ Configure'!$P$17:$AC$26,COLUMN(BB17)-COLUMN($AT17)+3,FALSE)</f>
        <v>H</v>
      </c>
      <c r="BD17" s="72" t="str">
        <f>VLOOKUP($AT17,'⚙ Configure'!$P$17:$AC$26,COLUMN(BC17)-COLUMN($AT17)+3,FALSE)</f>
        <v>VH</v>
      </c>
      <c r="BE17" s="72" t="str">
        <f>VLOOKUP($AT17,'⚙ Configure'!$P$17:$AC$26,COLUMN(BD17)-COLUMN($AT17)+3,FALSE)</f>
        <v>VH</v>
      </c>
      <c r="BF17" s="72" t="str">
        <f>VLOOKUP($AT17,'⚙ Configure'!$P$17:$AC$26,COLUMN(BE17)-COLUMN($AT17)+3,FALSE)</f>
        <v>VH</v>
      </c>
      <c r="BG17" s="94"/>
      <c r="BI17" s="92">
        <v>3</v>
      </c>
      <c r="BJ17" s="71" t="e">
        <f>IF(EXACT('⚙ Configure'!#REF!,""),"",'⚙ Configure'!#REF!)</f>
        <v>#REF!</v>
      </c>
      <c r="BK17" s="71"/>
      <c r="BL17" s="71"/>
      <c r="BM17" s="71"/>
      <c r="BN17" s="71"/>
      <c r="BO17" s="71"/>
      <c r="BP17" s="71"/>
      <c r="BQ17" s="71"/>
      <c r="BR17" s="71"/>
      <c r="BS17" s="12"/>
      <c r="BT17" s="12"/>
      <c r="BU17" s="12"/>
      <c r="BV17" s="93"/>
    </row>
    <row r="18" spans="1:74" ht="15" customHeight="1" x14ac:dyDescent="0.3">
      <c r="A18" s="84">
        <v>4</v>
      </c>
      <c r="B18" s="40" t="str">
        <f>VLOOKUP($A18,'⚙ Configure'!$A$4:$N$13,COLUMN(A18)-COLUMN($A18)+3,FALSE)</f>
        <v>M</v>
      </c>
      <c r="C18" s="40" t="str">
        <f>VLOOKUP($A18,'⚙ Configure'!$A$4:$N$13,COLUMN(B18)-COLUMN($A18)+3,FALSE)</f>
        <v>M</v>
      </c>
      <c r="D18" s="40" t="str">
        <f>VLOOKUP($A18,'⚙ Configure'!$A$4:$N$13,COLUMN(C18)-COLUMN($A18)+3,FALSE)</f>
        <v>M</v>
      </c>
      <c r="E18" s="40" t="str">
        <f>VLOOKUP($A18,'⚙ Configure'!$A$4:$N$13,COLUMN(D18)-COLUMN($A18)+3,FALSE)</f>
        <v>M</v>
      </c>
      <c r="F18" s="40" t="str">
        <f>VLOOKUP($A18,'⚙ Configure'!$A$4:$N$13,COLUMN(E18)-COLUMN($A18)+3,FALSE)</f>
        <v>M</v>
      </c>
      <c r="G18" s="40" t="str">
        <f>VLOOKUP($A18,'⚙ Configure'!$A$4:$N$13,COLUMN(F18)-COLUMN($A18)+3,FALSE)</f>
        <v>M</v>
      </c>
      <c r="H18" s="40" t="str">
        <f>VLOOKUP($A18,'⚙ Configure'!$A$4:$N$13,COLUMN(G18)-COLUMN($A18)+3,FALSE)</f>
        <v>L</v>
      </c>
      <c r="I18" s="40" t="str">
        <f>VLOOKUP($A18,'⚙ Configure'!$A$4:$N$13,COLUMN(H18)-COLUMN($A18)+3,FALSE)</f>
        <v>L</v>
      </c>
      <c r="J18" s="40" t="str">
        <f>VLOOKUP($A18,'⚙ Configure'!$A$4:$N$13,COLUMN(I18)-COLUMN($A18)+3,FALSE)</f>
        <v>L</v>
      </c>
      <c r="K18" s="40" t="str">
        <f>VLOOKUP($A18,'⚙ Configure'!$A$4:$N$13,COLUMN(J18)-COLUMN($A18)+3,FALSE)</f>
        <v>L</v>
      </c>
      <c r="L18" s="40" t="str">
        <f>VLOOKUP($A18,'⚙ Configure'!$A$4:$N$13,COLUMN(K18)-COLUMN($A18)+3,FALSE)</f>
        <v>L</v>
      </c>
      <c r="M18" s="40" t="str">
        <f>VLOOKUP($A18,'⚙ Configure'!$A$4:$N$13,COLUMN(L18)-COLUMN($A18)+3,FALSE)</f>
        <v>L</v>
      </c>
      <c r="N18" s="81"/>
      <c r="P18" s="86">
        <v>4</v>
      </c>
      <c r="Q18" s="40" t="str">
        <f>VLOOKUP($P18,'⚙ Configure'!$A$17:$N$26,COLUMN(P18)-COLUMN($P18)+3,FALSE)</f>
        <v>VH</v>
      </c>
      <c r="R18" s="40" t="str">
        <f>VLOOKUP($P18,'⚙ Configure'!$A$17:$N$26,COLUMN(Q18)-COLUMN($P18)+3,FALSE)</f>
        <v>VH</v>
      </c>
      <c r="S18" s="40" t="str">
        <f>VLOOKUP($P18,'⚙ Configure'!$A$17:$N$26,COLUMN(R18)-COLUMN($P18)+3,FALSE)</f>
        <v>H</v>
      </c>
      <c r="T18" s="40" t="str">
        <f>VLOOKUP($P18,'⚙ Configure'!$A$17:$N$26,COLUMN(S18)-COLUMN($P18)+3,FALSE)</f>
        <v>H</v>
      </c>
      <c r="U18" s="40" t="str">
        <f>VLOOKUP($P18,'⚙ Configure'!$A$17:$N$26,COLUMN(T18)-COLUMN($P18)+3,FALSE)</f>
        <v>H</v>
      </c>
      <c r="V18" s="40" t="str">
        <f>VLOOKUP($P18,'⚙ Configure'!$A$17:$N$26,COLUMN(U18)-COLUMN($P18)+3,FALSE)</f>
        <v>M</v>
      </c>
      <c r="W18" s="40" t="str">
        <f>VLOOKUP($P18,'⚙ Configure'!$A$17:$N$26,COLUMN(V18)-COLUMN($P18)+3,FALSE)</f>
        <v>M</v>
      </c>
      <c r="X18" s="40" t="str">
        <f>VLOOKUP($P18,'⚙ Configure'!$A$17:$N$26,COLUMN(W18)-COLUMN($P18)+3,FALSE)</f>
        <v>M</v>
      </c>
      <c r="Y18" s="40" t="str">
        <f>VLOOKUP($P18,'⚙ Configure'!$A$17:$N$26,COLUMN(X18)-COLUMN($P18)+3,FALSE)</f>
        <v>M</v>
      </c>
      <c r="Z18" s="40" t="str">
        <f>VLOOKUP($P18,'⚙ Configure'!$A$17:$N$26,COLUMN(Y18)-COLUMN($P18)+3,FALSE)</f>
        <v>L</v>
      </c>
      <c r="AA18" s="40" t="str">
        <f>VLOOKUP($P18,'⚙ Configure'!$A$17:$N$26,COLUMN(Z18)-COLUMN($P18)+3,FALSE)</f>
        <v>L</v>
      </c>
      <c r="AB18" s="40" t="str">
        <f>VLOOKUP($P18,'⚙ Configure'!$A$17:$N$26,COLUMN(AA18)-COLUMN($P18)+3,FALSE)</f>
        <v>L</v>
      </c>
      <c r="AC18" s="99"/>
      <c r="AE18" s="88">
        <v>4</v>
      </c>
      <c r="AF18" s="40" t="str">
        <f>VLOOKUP($AE18,'⚙ Configure'!$P$4:$AC$13,COLUMN(AE18)-COLUMN($AE18)+3,FALSE)</f>
        <v>M</v>
      </c>
      <c r="AG18" s="40" t="str">
        <f>VLOOKUP($AE18,'⚙ Configure'!$P$4:$AC$13,COLUMN(AF18)-COLUMN($AE18)+3,FALSE)</f>
        <v>M</v>
      </c>
      <c r="AH18" s="40" t="str">
        <f>VLOOKUP($AE18,'⚙ Configure'!$P$4:$AC$13,COLUMN(AG18)-COLUMN($AE18)+3,FALSE)</f>
        <v>M</v>
      </c>
      <c r="AI18" s="40" t="str">
        <f>VLOOKUP($AE18,'⚙ Configure'!$P$4:$AC$13,COLUMN(AH18)-COLUMN($AE18)+3,FALSE)</f>
        <v>M</v>
      </c>
      <c r="AJ18" s="40" t="str">
        <f>VLOOKUP($AE18,'⚙ Configure'!$P$4:$AC$13,COLUMN(AI18)-COLUMN($AE18)+3,FALSE)</f>
        <v>M</v>
      </c>
      <c r="AK18" s="40" t="str">
        <f>VLOOKUP($AE18,'⚙ Configure'!$P$4:$AC$13,COLUMN(AJ18)-COLUMN($AE18)+3,FALSE)</f>
        <v>M</v>
      </c>
      <c r="AL18" s="40" t="str">
        <f>VLOOKUP($AE18,'⚙ Configure'!$P$4:$AC$13,COLUMN(AK18)-COLUMN($AE18)+3,FALSE)</f>
        <v>M</v>
      </c>
      <c r="AM18" s="40" t="str">
        <f>VLOOKUP($AE18,'⚙ Configure'!$P$4:$AC$13,COLUMN(AL18)-COLUMN($AE18)+3,FALSE)</f>
        <v>M</v>
      </c>
      <c r="AN18" s="40" t="str">
        <f>VLOOKUP($AE18,'⚙ Configure'!$P$4:$AC$13,COLUMN(AM18)-COLUMN($AE18)+3,FALSE)</f>
        <v>M</v>
      </c>
      <c r="AO18" s="40" t="str">
        <f>VLOOKUP($AE18,'⚙ Configure'!$P$4:$AC$13,COLUMN(AN18)-COLUMN($AE18)+3,FALSE)</f>
        <v>M</v>
      </c>
      <c r="AP18" s="40" t="str">
        <f>VLOOKUP($AE18,'⚙ Configure'!$P$4:$AC$13,COLUMN(AO18)-COLUMN($AE18)+3,FALSE)</f>
        <v>M</v>
      </c>
      <c r="AQ18" s="40" t="str">
        <f>VLOOKUP($AE18,'⚙ Configure'!$P$4:$AC$13,COLUMN(AP18)-COLUMN($AE18)+3,FALSE)</f>
        <v>M</v>
      </c>
      <c r="AR18" s="90"/>
      <c r="AT18" s="97">
        <v>4</v>
      </c>
      <c r="AU18" s="72" t="str">
        <f>VLOOKUP($AT18,'⚙ Configure'!$P$17:$AC$26,COLUMN(AT18)-COLUMN($AT18)+3,FALSE)</f>
        <v>L</v>
      </c>
      <c r="AV18" s="72" t="str">
        <f>VLOOKUP($AT18,'⚙ Configure'!$P$17:$AC$26,COLUMN(AU18)-COLUMN($AT18)+3,FALSE)</f>
        <v>L</v>
      </c>
      <c r="AW18" s="72" t="str">
        <f>VLOOKUP($AT18,'⚙ Configure'!$P$17:$AC$26,COLUMN(AV18)-COLUMN($AT18)+3,FALSE)</f>
        <v>L</v>
      </c>
      <c r="AX18" s="72" t="str">
        <f>VLOOKUP($AT18,'⚙ Configure'!$P$17:$AC$26,COLUMN(AW18)-COLUMN($AT18)+3,FALSE)</f>
        <v>M</v>
      </c>
      <c r="AY18" s="72" t="str">
        <f>VLOOKUP($AT18,'⚙ Configure'!$P$17:$AC$26,COLUMN(AX18)-COLUMN($AT18)+3,FALSE)</f>
        <v>M</v>
      </c>
      <c r="AZ18" s="72" t="str">
        <f>VLOOKUP($AT18,'⚙ Configure'!$P$17:$AC$26,COLUMN(AY18)-COLUMN($AT18)+3,FALSE)</f>
        <v>M</v>
      </c>
      <c r="BA18" s="72" t="str">
        <f>VLOOKUP($AT18,'⚙ Configure'!$P$17:$AC$26,COLUMN(AZ18)-COLUMN($AT18)+3,FALSE)</f>
        <v>H</v>
      </c>
      <c r="BB18" s="72" t="str">
        <f>VLOOKUP($AT18,'⚙ Configure'!$P$17:$AC$26,COLUMN(BA18)-COLUMN($AT18)+3,FALSE)</f>
        <v>H</v>
      </c>
      <c r="BC18" s="72" t="str">
        <f>VLOOKUP($AT18,'⚙ Configure'!$P$17:$AC$26,COLUMN(BB18)-COLUMN($AT18)+3,FALSE)</f>
        <v>H</v>
      </c>
      <c r="BD18" s="72" t="str">
        <f>VLOOKUP($AT18,'⚙ Configure'!$P$17:$AC$26,COLUMN(BC18)-COLUMN($AT18)+3,FALSE)</f>
        <v>VH</v>
      </c>
      <c r="BE18" s="72" t="str">
        <f>VLOOKUP($AT18,'⚙ Configure'!$P$17:$AC$26,COLUMN(BD18)-COLUMN($AT18)+3,FALSE)</f>
        <v>VH</v>
      </c>
      <c r="BF18" s="72" t="str">
        <f>VLOOKUP($AT18,'⚙ Configure'!$P$17:$AC$26,COLUMN(BE18)-COLUMN($AT18)+3,FALSE)</f>
        <v>VH</v>
      </c>
      <c r="BG18" s="94"/>
      <c r="BI18" s="92">
        <v>4</v>
      </c>
      <c r="BJ18" s="71" t="e">
        <f>IF(EXACT('⚙ Configure'!#REF!,""),"",'⚙ Configure'!#REF!)</f>
        <v>#REF!</v>
      </c>
      <c r="BK18" s="71"/>
      <c r="BL18" s="71"/>
      <c r="BM18" s="71"/>
      <c r="BN18" s="71"/>
      <c r="BO18" s="71"/>
      <c r="BP18" s="71"/>
      <c r="BQ18" s="71"/>
      <c r="BR18" s="71"/>
      <c r="BS18" s="12"/>
      <c r="BT18" s="12"/>
      <c r="BU18" s="12"/>
      <c r="BV18" s="93"/>
    </row>
    <row r="19" spans="1:74" ht="15" customHeight="1" x14ac:dyDescent="0.3">
      <c r="A19" s="84">
        <v>5</v>
      </c>
      <c r="B19" s="40" t="str">
        <f>VLOOKUP($A19,'⚙ Configure'!$A$4:$N$13,COLUMN(A19)-COLUMN($A19)+3,FALSE)</f>
        <v>H</v>
      </c>
      <c r="C19" s="40" t="str">
        <f>VLOOKUP($A19,'⚙ Configure'!$A$4:$N$13,COLUMN(B19)-COLUMN($A19)+3,FALSE)</f>
        <v>M</v>
      </c>
      <c r="D19" s="40" t="str">
        <f>VLOOKUP($A19,'⚙ Configure'!$A$4:$N$13,COLUMN(C19)-COLUMN($A19)+3,FALSE)</f>
        <v>M</v>
      </c>
      <c r="E19" s="40" t="str">
        <f>VLOOKUP($A19,'⚙ Configure'!$A$4:$N$13,COLUMN(D19)-COLUMN($A19)+3,FALSE)</f>
        <v>M</v>
      </c>
      <c r="F19" s="40" t="str">
        <f>VLOOKUP($A19,'⚙ Configure'!$A$4:$N$13,COLUMN(E19)-COLUMN($A19)+3,FALSE)</f>
        <v>M</v>
      </c>
      <c r="G19" s="40" t="str">
        <f>VLOOKUP($A19,'⚙ Configure'!$A$4:$N$13,COLUMN(F19)-COLUMN($A19)+3,FALSE)</f>
        <v>M</v>
      </c>
      <c r="H19" s="40" t="str">
        <f>VLOOKUP($A19,'⚙ Configure'!$A$4:$N$13,COLUMN(G19)-COLUMN($A19)+3,FALSE)</f>
        <v>M</v>
      </c>
      <c r="I19" s="40" t="str">
        <f>VLOOKUP($A19,'⚙ Configure'!$A$4:$N$13,COLUMN(H19)-COLUMN($A19)+3,FALSE)</f>
        <v>M</v>
      </c>
      <c r="J19" s="40" t="str">
        <f>VLOOKUP($A19,'⚙ Configure'!$A$4:$N$13,COLUMN(I19)-COLUMN($A19)+3,FALSE)</f>
        <v>M</v>
      </c>
      <c r="K19" s="40" t="str">
        <f>VLOOKUP($A19,'⚙ Configure'!$A$4:$N$13,COLUMN(J19)-COLUMN($A19)+3,FALSE)</f>
        <v>L</v>
      </c>
      <c r="L19" s="40" t="str">
        <f>VLOOKUP($A19,'⚙ Configure'!$A$4:$N$13,COLUMN(K19)-COLUMN($A19)+3,FALSE)</f>
        <v>L</v>
      </c>
      <c r="M19" s="40" t="str">
        <f>VLOOKUP($A19,'⚙ Configure'!$A$4:$N$13,COLUMN(L19)-COLUMN($A19)+3,FALSE)</f>
        <v>L</v>
      </c>
      <c r="N19" s="81"/>
      <c r="P19" s="86">
        <v>5</v>
      </c>
      <c r="Q19" s="40" t="str">
        <f>VLOOKUP($P19,'⚙ Configure'!$A$17:$N$26,COLUMN(P19)-COLUMN($P19)+3,FALSE)</f>
        <v>VH</v>
      </c>
      <c r="R19" s="40" t="str">
        <f>VLOOKUP($P19,'⚙ Configure'!$A$17:$N$26,COLUMN(Q19)-COLUMN($P19)+3,FALSE)</f>
        <v>VH</v>
      </c>
      <c r="S19" s="40" t="str">
        <f>VLOOKUP($P19,'⚙ Configure'!$A$17:$N$26,COLUMN(R19)-COLUMN($P19)+3,FALSE)</f>
        <v>VH</v>
      </c>
      <c r="T19" s="40" t="str">
        <f>VLOOKUP($P19,'⚙ Configure'!$A$17:$N$26,COLUMN(S19)-COLUMN($P19)+3,FALSE)</f>
        <v>VH</v>
      </c>
      <c r="U19" s="40" t="str">
        <f>VLOOKUP($P19,'⚙ Configure'!$A$17:$N$26,COLUMN(T19)-COLUMN($P19)+3,FALSE)</f>
        <v>H</v>
      </c>
      <c r="V19" s="40" t="str">
        <f>VLOOKUP($P19,'⚙ Configure'!$A$17:$N$26,COLUMN(U19)-COLUMN($P19)+3,FALSE)</f>
        <v>H</v>
      </c>
      <c r="W19" s="40" t="str">
        <f>VLOOKUP($P19,'⚙ Configure'!$A$17:$N$26,COLUMN(V19)-COLUMN($P19)+3,FALSE)</f>
        <v>M</v>
      </c>
      <c r="X19" s="40" t="str">
        <f>VLOOKUP($P19,'⚙ Configure'!$A$17:$N$26,COLUMN(W19)-COLUMN($P19)+3,FALSE)</f>
        <v>M</v>
      </c>
      <c r="Y19" s="40" t="str">
        <f>VLOOKUP($P19,'⚙ Configure'!$A$17:$N$26,COLUMN(X19)-COLUMN($P19)+3,FALSE)</f>
        <v>M</v>
      </c>
      <c r="Z19" s="40" t="str">
        <f>VLOOKUP($P19,'⚙ Configure'!$A$17:$N$26,COLUMN(Y19)-COLUMN($P19)+3,FALSE)</f>
        <v>L</v>
      </c>
      <c r="AA19" s="40" t="str">
        <f>VLOOKUP($P19,'⚙ Configure'!$A$17:$N$26,COLUMN(Z19)-COLUMN($P19)+3,FALSE)</f>
        <v>L</v>
      </c>
      <c r="AB19" s="40" t="str">
        <f>VLOOKUP($P19,'⚙ Configure'!$A$17:$N$26,COLUMN(AA19)-COLUMN($P19)+3,FALSE)</f>
        <v>L</v>
      </c>
      <c r="AC19" s="99"/>
      <c r="AE19" s="88">
        <v>5</v>
      </c>
      <c r="AF19" s="40" t="str">
        <f>VLOOKUP($AE19,'⚙ Configure'!$P$4:$AC$13,COLUMN(AE19)-COLUMN($AE19)+3,FALSE)</f>
        <v>M</v>
      </c>
      <c r="AG19" s="40" t="str">
        <f>VLOOKUP($AE19,'⚙ Configure'!$P$4:$AC$13,COLUMN(AF19)-COLUMN($AE19)+3,FALSE)</f>
        <v>M</v>
      </c>
      <c r="AH19" s="40" t="str">
        <f>VLOOKUP($AE19,'⚙ Configure'!$P$4:$AC$13,COLUMN(AG19)-COLUMN($AE19)+3,FALSE)</f>
        <v>M</v>
      </c>
      <c r="AI19" s="40" t="str">
        <f>VLOOKUP($AE19,'⚙ Configure'!$P$4:$AC$13,COLUMN(AH19)-COLUMN($AE19)+3,FALSE)</f>
        <v>M</v>
      </c>
      <c r="AJ19" s="40" t="str">
        <f>VLOOKUP($AE19,'⚙ Configure'!$P$4:$AC$13,COLUMN(AI19)-COLUMN($AE19)+3,FALSE)</f>
        <v>M</v>
      </c>
      <c r="AK19" s="40" t="str">
        <f>VLOOKUP($AE19,'⚙ Configure'!$P$4:$AC$13,COLUMN(AJ19)-COLUMN($AE19)+3,FALSE)</f>
        <v>M</v>
      </c>
      <c r="AL19" s="40" t="str">
        <f>VLOOKUP($AE19,'⚙ Configure'!$P$4:$AC$13,COLUMN(AK19)-COLUMN($AE19)+3,FALSE)</f>
        <v>M</v>
      </c>
      <c r="AM19" s="40" t="str">
        <f>VLOOKUP($AE19,'⚙ Configure'!$P$4:$AC$13,COLUMN(AL19)-COLUMN($AE19)+3,FALSE)</f>
        <v>M</v>
      </c>
      <c r="AN19" s="40" t="str">
        <f>VLOOKUP($AE19,'⚙ Configure'!$P$4:$AC$13,COLUMN(AM19)-COLUMN($AE19)+3,FALSE)</f>
        <v>M</v>
      </c>
      <c r="AO19" s="40" t="str">
        <f>VLOOKUP($AE19,'⚙ Configure'!$P$4:$AC$13,COLUMN(AN19)-COLUMN($AE19)+3,FALSE)</f>
        <v>M</v>
      </c>
      <c r="AP19" s="40" t="str">
        <f>VLOOKUP($AE19,'⚙ Configure'!$P$4:$AC$13,COLUMN(AO19)-COLUMN($AE19)+3,FALSE)</f>
        <v>M</v>
      </c>
      <c r="AQ19" s="40" t="str">
        <f>VLOOKUP($AE19,'⚙ Configure'!$P$4:$AC$13,COLUMN(AP19)-COLUMN($AE19)+3,FALSE)</f>
        <v>M</v>
      </c>
      <c r="AR19" s="90"/>
      <c r="AT19" s="97">
        <v>5</v>
      </c>
      <c r="AU19" s="72" t="str">
        <f>VLOOKUP($AT19,'⚙ Configure'!$P$17:$AC$26,COLUMN(AT19)-COLUMN($AT19)+3,FALSE)</f>
        <v>L</v>
      </c>
      <c r="AV19" s="72" t="str">
        <f>VLOOKUP($AT19,'⚙ Configure'!$P$17:$AC$26,COLUMN(AU19)-COLUMN($AT19)+3,FALSE)</f>
        <v>L</v>
      </c>
      <c r="AW19" s="72" t="str">
        <f>VLOOKUP($AT19,'⚙ Configure'!$P$17:$AC$26,COLUMN(AV19)-COLUMN($AT19)+3,FALSE)</f>
        <v>L</v>
      </c>
      <c r="AX19" s="72" t="str">
        <f>VLOOKUP($AT19,'⚙ Configure'!$P$17:$AC$26,COLUMN(AW19)-COLUMN($AT19)+3,FALSE)</f>
        <v>M</v>
      </c>
      <c r="AY19" s="72" t="str">
        <f>VLOOKUP($AT19,'⚙ Configure'!$P$17:$AC$26,COLUMN(AX19)-COLUMN($AT19)+3,FALSE)</f>
        <v>M</v>
      </c>
      <c r="AZ19" s="72" t="str">
        <f>VLOOKUP($AT19,'⚙ Configure'!$P$17:$AC$26,COLUMN(AY19)-COLUMN($AT19)+3,FALSE)</f>
        <v>M</v>
      </c>
      <c r="BA19" s="72" t="str">
        <f>VLOOKUP($AT19,'⚙ Configure'!$P$17:$AC$26,COLUMN(AZ19)-COLUMN($AT19)+3,FALSE)</f>
        <v>VH</v>
      </c>
      <c r="BB19" s="72" t="str">
        <f>VLOOKUP($AT19,'⚙ Configure'!$P$17:$AC$26,COLUMN(BA19)-COLUMN($AT19)+3,FALSE)</f>
        <v>VH</v>
      </c>
      <c r="BC19" s="72" t="str">
        <f>VLOOKUP($AT19,'⚙ Configure'!$P$17:$AC$26,COLUMN(BB19)-COLUMN($AT19)+3,FALSE)</f>
        <v>VH</v>
      </c>
      <c r="BD19" s="72" t="str">
        <f>VLOOKUP($AT19,'⚙ Configure'!$P$17:$AC$26,COLUMN(BC19)-COLUMN($AT19)+3,FALSE)</f>
        <v>VH</v>
      </c>
      <c r="BE19" s="72" t="str">
        <f>VLOOKUP($AT19,'⚙ Configure'!$P$17:$AC$26,COLUMN(BD19)-COLUMN($AT19)+3,FALSE)</f>
        <v>VH</v>
      </c>
      <c r="BF19" s="72" t="str">
        <f>VLOOKUP($AT19,'⚙ Configure'!$P$17:$AC$26,COLUMN(BE19)-COLUMN($AT19)+3,FALSE)</f>
        <v>VH</v>
      </c>
      <c r="BG19" s="94"/>
      <c r="BI19" s="92">
        <v>5</v>
      </c>
      <c r="BJ19" s="71" t="e">
        <f>IF(EXACT('⚙ Configure'!#REF!,""),"",'⚙ Configure'!#REF!)</f>
        <v>#REF!</v>
      </c>
      <c r="BK19" s="71"/>
      <c r="BL19" s="71"/>
      <c r="BM19" s="71"/>
      <c r="BN19" s="71"/>
      <c r="BO19" s="71"/>
      <c r="BP19" s="71"/>
      <c r="BQ19" s="71"/>
      <c r="BR19" s="71"/>
      <c r="BS19" s="12"/>
      <c r="BT19" s="12"/>
      <c r="BU19" s="12"/>
      <c r="BV19" s="93"/>
    </row>
    <row r="20" spans="1:74" ht="15" customHeight="1" x14ac:dyDescent="0.3">
      <c r="A20" s="84">
        <v>6</v>
      </c>
      <c r="B20" s="40" t="str">
        <f>VLOOKUP($A20,'⚙ Configure'!$A$4:$N$13,COLUMN(A20)-COLUMN($A20)+3,FALSE)</f>
        <v>H</v>
      </c>
      <c r="C20" s="40" t="str">
        <f>VLOOKUP($A20,'⚙ Configure'!$A$4:$N$13,COLUMN(B20)-COLUMN($A20)+3,FALSE)</f>
        <v>H</v>
      </c>
      <c r="D20" s="40" t="str">
        <f>VLOOKUP($A20,'⚙ Configure'!$A$4:$N$13,COLUMN(C20)-COLUMN($A20)+3,FALSE)</f>
        <v>H</v>
      </c>
      <c r="E20" s="40" t="str">
        <f>VLOOKUP($A20,'⚙ Configure'!$A$4:$N$13,COLUMN(D20)-COLUMN($A20)+3,FALSE)</f>
        <v>H</v>
      </c>
      <c r="F20" s="40" t="str">
        <f>VLOOKUP($A20,'⚙ Configure'!$A$4:$N$13,COLUMN(E20)-COLUMN($A20)+3,FALSE)</f>
        <v>M</v>
      </c>
      <c r="G20" s="40" t="str">
        <f>VLOOKUP($A20,'⚙ Configure'!$A$4:$N$13,COLUMN(F20)-COLUMN($A20)+3,FALSE)</f>
        <v>M</v>
      </c>
      <c r="H20" s="40" t="str">
        <f>VLOOKUP($A20,'⚙ Configure'!$A$4:$N$13,COLUMN(G20)-COLUMN($A20)+3,FALSE)</f>
        <v>M</v>
      </c>
      <c r="I20" s="40" t="str">
        <f>VLOOKUP($A20,'⚙ Configure'!$A$4:$N$13,COLUMN(H20)-COLUMN($A20)+3,FALSE)</f>
        <v>M</v>
      </c>
      <c r="J20" s="40" t="str">
        <f>VLOOKUP($A20,'⚙ Configure'!$A$4:$N$13,COLUMN(I20)-COLUMN($A20)+3,FALSE)</f>
        <v>M</v>
      </c>
      <c r="K20" s="40" t="str">
        <f>VLOOKUP($A20,'⚙ Configure'!$A$4:$N$13,COLUMN(J20)-COLUMN($A20)+3,FALSE)</f>
        <v>M</v>
      </c>
      <c r="L20" s="40" t="str">
        <f>VLOOKUP($A20,'⚙ Configure'!$A$4:$N$13,COLUMN(K20)-COLUMN($A20)+3,FALSE)</f>
        <v>M</v>
      </c>
      <c r="M20" s="40" t="str">
        <f>VLOOKUP($A20,'⚙ Configure'!$A$4:$N$13,COLUMN(L20)-COLUMN($A20)+3,FALSE)</f>
        <v>M</v>
      </c>
      <c r="N20" s="81"/>
      <c r="P20" s="86">
        <v>6</v>
      </c>
      <c r="Q20" s="40" t="str">
        <f>VLOOKUP($P20,'⚙ Configure'!$A$17:$N$26,COLUMN(P20)-COLUMN($P20)+3,FALSE)</f>
        <v>VH</v>
      </c>
      <c r="R20" s="40" t="str">
        <f>VLOOKUP($P20,'⚙ Configure'!$A$17:$N$26,COLUMN(Q20)-COLUMN($P20)+3,FALSE)</f>
        <v>VH</v>
      </c>
      <c r="S20" s="40" t="str">
        <f>VLOOKUP($P20,'⚙ Configure'!$A$17:$N$26,COLUMN(R20)-COLUMN($P20)+3,FALSE)</f>
        <v>VH</v>
      </c>
      <c r="T20" s="40" t="str">
        <f>VLOOKUP($P20,'⚙ Configure'!$A$17:$N$26,COLUMN(S20)-COLUMN($P20)+3,FALSE)</f>
        <v>VH</v>
      </c>
      <c r="U20" s="40" t="str">
        <f>VLOOKUP($P20,'⚙ Configure'!$A$17:$N$26,COLUMN(T20)-COLUMN($P20)+3,FALSE)</f>
        <v>VH</v>
      </c>
      <c r="V20" s="40" t="str">
        <f>VLOOKUP($P20,'⚙ Configure'!$A$17:$N$26,COLUMN(U20)-COLUMN($P20)+3,FALSE)</f>
        <v>H</v>
      </c>
      <c r="W20" s="40" t="str">
        <f>VLOOKUP($P20,'⚙ Configure'!$A$17:$N$26,COLUMN(V20)-COLUMN($P20)+3,FALSE)</f>
        <v>H</v>
      </c>
      <c r="X20" s="40" t="str">
        <f>VLOOKUP($P20,'⚙ Configure'!$A$17:$N$26,COLUMN(W20)-COLUMN($P20)+3,FALSE)</f>
        <v>M</v>
      </c>
      <c r="Y20" s="40" t="str">
        <f>VLOOKUP($P20,'⚙ Configure'!$A$17:$N$26,COLUMN(X20)-COLUMN($P20)+3,FALSE)</f>
        <v>M</v>
      </c>
      <c r="Z20" s="40" t="str">
        <f>VLOOKUP($P20,'⚙ Configure'!$A$17:$N$26,COLUMN(Y20)-COLUMN($P20)+3,FALSE)</f>
        <v>M</v>
      </c>
      <c r="AA20" s="40" t="str">
        <f>VLOOKUP($P20,'⚙ Configure'!$A$17:$N$26,COLUMN(Z20)-COLUMN($P20)+3,FALSE)</f>
        <v>L</v>
      </c>
      <c r="AB20" s="40" t="str">
        <f>VLOOKUP($P20,'⚙ Configure'!$A$17:$N$26,COLUMN(AA20)-COLUMN($P20)+3,FALSE)</f>
        <v>L</v>
      </c>
      <c r="AC20" s="99"/>
      <c r="AE20" s="88">
        <v>6</v>
      </c>
      <c r="AF20" s="40" t="str">
        <f>VLOOKUP($AE20,'⚙ Configure'!$P$4:$AC$13,COLUMN(AE20)-COLUMN($AE20)+3,FALSE)</f>
        <v>H</v>
      </c>
      <c r="AG20" s="40" t="str">
        <f>VLOOKUP($AE20,'⚙ Configure'!$P$4:$AC$13,COLUMN(AF20)-COLUMN($AE20)+3,FALSE)</f>
        <v>H</v>
      </c>
      <c r="AH20" s="40" t="str">
        <f>VLOOKUP($AE20,'⚙ Configure'!$P$4:$AC$13,COLUMN(AG20)-COLUMN($AE20)+3,FALSE)</f>
        <v>H</v>
      </c>
      <c r="AI20" s="40" t="str">
        <f>VLOOKUP($AE20,'⚙ Configure'!$P$4:$AC$13,COLUMN(AH20)-COLUMN($AE20)+3,FALSE)</f>
        <v>H</v>
      </c>
      <c r="AJ20" s="40" t="str">
        <f>VLOOKUP($AE20,'⚙ Configure'!$P$4:$AC$13,COLUMN(AI20)-COLUMN($AE20)+3,FALSE)</f>
        <v>H</v>
      </c>
      <c r="AK20" s="40" t="str">
        <f>VLOOKUP($AE20,'⚙ Configure'!$P$4:$AC$13,COLUMN(AJ20)-COLUMN($AE20)+3,FALSE)</f>
        <v>H</v>
      </c>
      <c r="AL20" s="40" t="str">
        <f>VLOOKUP($AE20,'⚙ Configure'!$P$4:$AC$13,COLUMN(AK20)-COLUMN($AE20)+3,FALSE)</f>
        <v>H</v>
      </c>
      <c r="AM20" s="40" t="str">
        <f>VLOOKUP($AE20,'⚙ Configure'!$P$4:$AC$13,COLUMN(AL20)-COLUMN($AE20)+3,FALSE)</f>
        <v>H</v>
      </c>
      <c r="AN20" s="40" t="str">
        <f>VLOOKUP($AE20,'⚙ Configure'!$P$4:$AC$13,COLUMN(AM20)-COLUMN($AE20)+3,FALSE)</f>
        <v>H</v>
      </c>
      <c r="AO20" s="40" t="str">
        <f>VLOOKUP($AE20,'⚙ Configure'!$P$4:$AC$13,COLUMN(AN20)-COLUMN($AE20)+3,FALSE)</f>
        <v>H</v>
      </c>
      <c r="AP20" s="40" t="str">
        <f>VLOOKUP($AE20,'⚙ Configure'!$P$4:$AC$13,COLUMN(AO20)-COLUMN($AE20)+3,FALSE)</f>
        <v>H</v>
      </c>
      <c r="AQ20" s="40" t="str">
        <f>VLOOKUP($AE20,'⚙ Configure'!$P$4:$AC$13,COLUMN(AP20)-COLUMN($AE20)+3,FALSE)</f>
        <v>H</v>
      </c>
      <c r="AR20" s="90"/>
      <c r="AT20" s="97">
        <v>6</v>
      </c>
      <c r="AU20" s="72" t="str">
        <f>VLOOKUP($AT20,'⚙ Configure'!$P$17:$AC$26,COLUMN(AT20)-COLUMN($AT20)+3,FALSE)</f>
        <v>M</v>
      </c>
      <c r="AV20" s="72" t="str">
        <f>VLOOKUP($AT20,'⚙ Configure'!$P$17:$AC$26,COLUMN(AU20)-COLUMN($AT20)+3,FALSE)</f>
        <v>M</v>
      </c>
      <c r="AW20" s="72" t="str">
        <f>VLOOKUP($AT20,'⚙ Configure'!$P$17:$AC$26,COLUMN(AV20)-COLUMN($AT20)+3,FALSE)</f>
        <v>M</v>
      </c>
      <c r="AX20" s="72" t="str">
        <f>VLOOKUP($AT20,'⚙ Configure'!$P$17:$AC$26,COLUMN(AW20)-COLUMN($AT20)+3,FALSE)</f>
        <v>H</v>
      </c>
      <c r="AY20" s="72" t="str">
        <f>VLOOKUP($AT20,'⚙ Configure'!$P$17:$AC$26,COLUMN(AX20)-COLUMN($AT20)+3,FALSE)</f>
        <v>H</v>
      </c>
      <c r="AZ20" s="72" t="str">
        <f>VLOOKUP($AT20,'⚙ Configure'!$P$17:$AC$26,COLUMN(AY20)-COLUMN($AT20)+3,FALSE)</f>
        <v>H</v>
      </c>
      <c r="BA20" s="72" t="str">
        <f>VLOOKUP($AT20,'⚙ Configure'!$P$17:$AC$26,COLUMN(AZ20)-COLUMN($AT20)+3,FALSE)</f>
        <v>VH</v>
      </c>
      <c r="BB20" s="72" t="str">
        <f>VLOOKUP($AT20,'⚙ Configure'!$P$17:$AC$26,COLUMN(BA20)-COLUMN($AT20)+3,FALSE)</f>
        <v>VH</v>
      </c>
      <c r="BC20" s="72" t="str">
        <f>VLOOKUP($AT20,'⚙ Configure'!$P$17:$AC$26,COLUMN(BB20)-COLUMN($AT20)+3,FALSE)</f>
        <v>VH</v>
      </c>
      <c r="BD20" s="72" t="str">
        <f>VLOOKUP($AT20,'⚙ Configure'!$P$17:$AC$26,COLUMN(BC20)-COLUMN($AT20)+3,FALSE)</f>
        <v>VH</v>
      </c>
      <c r="BE20" s="72" t="str">
        <f>VLOOKUP($AT20,'⚙ Configure'!$P$17:$AC$26,COLUMN(BD20)-COLUMN($AT20)+3,FALSE)</f>
        <v>VH</v>
      </c>
      <c r="BF20" s="72" t="str">
        <f>VLOOKUP($AT20,'⚙ Configure'!$P$17:$AC$26,COLUMN(BE20)-COLUMN($AT20)+3,FALSE)</f>
        <v>VH</v>
      </c>
      <c r="BG20" s="94"/>
      <c r="BI20" s="92">
        <v>6</v>
      </c>
      <c r="BJ20" s="71" t="e">
        <f>IF(EXACT('⚙ Configure'!#REF!,""),"",'⚙ Configure'!#REF!)</f>
        <v>#REF!</v>
      </c>
      <c r="BK20" s="71"/>
      <c r="BL20" s="71"/>
      <c r="BM20" s="71"/>
      <c r="BN20" s="71"/>
      <c r="BO20" s="71"/>
      <c r="BP20" s="71"/>
      <c r="BQ20" s="71"/>
      <c r="BR20" s="71"/>
      <c r="BS20" s="12"/>
      <c r="BT20" s="12"/>
      <c r="BU20" s="12"/>
      <c r="BV20" s="93"/>
    </row>
    <row r="21" spans="1:74" ht="15" customHeight="1" x14ac:dyDescent="0.3">
      <c r="A21" s="84">
        <v>7</v>
      </c>
      <c r="B21" s="40" t="str">
        <f>VLOOKUP($A21,'⚙ Configure'!$A$4:$N$13,COLUMN(A21)-COLUMN($A21)+3,FALSE)</f>
        <v>VH</v>
      </c>
      <c r="C21" s="40" t="str">
        <f>VLOOKUP($A21,'⚙ Configure'!$A$4:$N$13,COLUMN(B21)-COLUMN($A21)+3,FALSE)</f>
        <v>VH</v>
      </c>
      <c r="D21" s="40" t="str">
        <f>VLOOKUP($A21,'⚙ Configure'!$A$4:$N$13,COLUMN(C21)-COLUMN($A21)+3,FALSE)</f>
        <v>H</v>
      </c>
      <c r="E21" s="40" t="str">
        <f>VLOOKUP($A21,'⚙ Configure'!$A$4:$N$13,COLUMN(D21)-COLUMN($A21)+3,FALSE)</f>
        <v>H</v>
      </c>
      <c r="F21" s="40" t="str">
        <f>VLOOKUP($A21,'⚙ Configure'!$A$4:$N$13,COLUMN(E21)-COLUMN($A21)+3,FALSE)</f>
        <v>H</v>
      </c>
      <c r="G21" s="40" t="str">
        <f>VLOOKUP($A21,'⚙ Configure'!$A$4:$N$13,COLUMN(F21)-COLUMN($A21)+3,FALSE)</f>
        <v>H</v>
      </c>
      <c r="H21" s="40" t="str">
        <f>VLOOKUP($A21,'⚙ Configure'!$A$4:$N$13,COLUMN(G21)-COLUMN($A21)+3,FALSE)</f>
        <v>H</v>
      </c>
      <c r="I21" s="40" t="str">
        <f>VLOOKUP($A21,'⚙ Configure'!$A$4:$N$13,COLUMN(H21)-COLUMN($A21)+3,FALSE)</f>
        <v>M</v>
      </c>
      <c r="J21" s="40" t="str">
        <f>VLOOKUP($A21,'⚙ Configure'!$A$4:$N$13,COLUMN(I21)-COLUMN($A21)+3,FALSE)</f>
        <v>M</v>
      </c>
      <c r="K21" s="40" t="str">
        <f>VLOOKUP($A21,'⚙ Configure'!$A$4:$N$13,COLUMN(J21)-COLUMN($A21)+3,FALSE)</f>
        <v>M</v>
      </c>
      <c r="L21" s="40" t="str">
        <f>VLOOKUP($A21,'⚙ Configure'!$A$4:$N$13,COLUMN(K21)-COLUMN($A21)+3,FALSE)</f>
        <v>M</v>
      </c>
      <c r="M21" s="40" t="str">
        <f>VLOOKUP($A21,'⚙ Configure'!$A$4:$N$13,COLUMN(L21)-COLUMN($A21)+3,FALSE)</f>
        <v>M</v>
      </c>
      <c r="N21" s="81"/>
      <c r="P21" s="86">
        <v>7</v>
      </c>
      <c r="Q21" s="40" t="str">
        <f>VLOOKUP($P21,'⚙ Configure'!$A$17:$N$26,COLUMN(P21)-COLUMN($P21)+3,FALSE)</f>
        <v>VH</v>
      </c>
      <c r="R21" s="40" t="str">
        <f>VLOOKUP($P21,'⚙ Configure'!$A$17:$N$26,COLUMN(Q21)-COLUMN($P21)+3,FALSE)</f>
        <v>VH</v>
      </c>
      <c r="S21" s="40" t="str">
        <f>VLOOKUP($P21,'⚙ Configure'!$A$17:$N$26,COLUMN(R21)-COLUMN($P21)+3,FALSE)</f>
        <v>VH</v>
      </c>
      <c r="T21" s="40" t="str">
        <f>VLOOKUP($P21,'⚙ Configure'!$A$17:$N$26,COLUMN(S21)-COLUMN($P21)+3,FALSE)</f>
        <v>VH</v>
      </c>
      <c r="U21" s="40" t="str">
        <f>VLOOKUP($P21,'⚙ Configure'!$A$17:$N$26,COLUMN(T21)-COLUMN($P21)+3,FALSE)</f>
        <v>VH</v>
      </c>
      <c r="V21" s="40" t="str">
        <f>VLOOKUP($P21,'⚙ Configure'!$A$17:$N$26,COLUMN(U21)-COLUMN($P21)+3,FALSE)</f>
        <v>VH</v>
      </c>
      <c r="W21" s="40" t="str">
        <f>VLOOKUP($P21,'⚙ Configure'!$A$17:$N$26,COLUMN(V21)-COLUMN($P21)+3,FALSE)</f>
        <v>H</v>
      </c>
      <c r="X21" s="40" t="str">
        <f>VLOOKUP($P21,'⚙ Configure'!$A$17:$N$26,COLUMN(W21)-COLUMN($P21)+3,FALSE)</f>
        <v>H</v>
      </c>
      <c r="Y21" s="40" t="str">
        <f>VLOOKUP($P21,'⚙ Configure'!$A$17:$N$26,COLUMN(X21)-COLUMN($P21)+3,FALSE)</f>
        <v>M</v>
      </c>
      <c r="Z21" s="40" t="str">
        <f>VLOOKUP($P21,'⚙ Configure'!$A$17:$N$26,COLUMN(Y21)-COLUMN($P21)+3,FALSE)</f>
        <v>M</v>
      </c>
      <c r="AA21" s="40" t="str">
        <f>VLOOKUP($P21,'⚙ Configure'!$A$17:$N$26,COLUMN(Z21)-COLUMN($P21)+3,FALSE)</f>
        <v>L</v>
      </c>
      <c r="AB21" s="40" t="str">
        <f>VLOOKUP($P21,'⚙ Configure'!$A$17:$N$26,COLUMN(AA21)-COLUMN($P21)+3,FALSE)</f>
        <v>L</v>
      </c>
      <c r="AC21" s="99"/>
      <c r="AE21" s="88">
        <v>7</v>
      </c>
      <c r="AF21" s="40" t="str">
        <f>VLOOKUP($AE21,'⚙ Configure'!$P$4:$AC$13,COLUMN(AE21)-COLUMN($AE21)+3,FALSE)</f>
        <v>H</v>
      </c>
      <c r="AG21" s="40" t="str">
        <f>VLOOKUP($AE21,'⚙ Configure'!$P$4:$AC$13,COLUMN(AF21)-COLUMN($AE21)+3,FALSE)</f>
        <v>H</v>
      </c>
      <c r="AH21" s="40" t="str">
        <f>VLOOKUP($AE21,'⚙ Configure'!$P$4:$AC$13,COLUMN(AG21)-COLUMN($AE21)+3,FALSE)</f>
        <v>H</v>
      </c>
      <c r="AI21" s="40" t="str">
        <f>VLOOKUP($AE21,'⚙ Configure'!$P$4:$AC$13,COLUMN(AH21)-COLUMN($AE21)+3,FALSE)</f>
        <v>H</v>
      </c>
      <c r="AJ21" s="40" t="str">
        <f>VLOOKUP($AE21,'⚙ Configure'!$P$4:$AC$13,COLUMN(AI21)-COLUMN($AE21)+3,FALSE)</f>
        <v>H</v>
      </c>
      <c r="AK21" s="40" t="str">
        <f>VLOOKUP($AE21,'⚙ Configure'!$P$4:$AC$13,COLUMN(AJ21)-COLUMN($AE21)+3,FALSE)</f>
        <v>H</v>
      </c>
      <c r="AL21" s="40" t="str">
        <f>VLOOKUP($AE21,'⚙ Configure'!$P$4:$AC$13,COLUMN(AK21)-COLUMN($AE21)+3,FALSE)</f>
        <v>H</v>
      </c>
      <c r="AM21" s="40" t="str">
        <f>VLOOKUP($AE21,'⚙ Configure'!$P$4:$AC$13,COLUMN(AL21)-COLUMN($AE21)+3,FALSE)</f>
        <v>H</v>
      </c>
      <c r="AN21" s="40" t="str">
        <f>VLOOKUP($AE21,'⚙ Configure'!$P$4:$AC$13,COLUMN(AM21)-COLUMN($AE21)+3,FALSE)</f>
        <v>H</v>
      </c>
      <c r="AO21" s="40" t="str">
        <f>VLOOKUP($AE21,'⚙ Configure'!$P$4:$AC$13,COLUMN(AN21)-COLUMN($AE21)+3,FALSE)</f>
        <v>H</v>
      </c>
      <c r="AP21" s="40" t="str">
        <f>VLOOKUP($AE21,'⚙ Configure'!$P$4:$AC$13,COLUMN(AO21)-COLUMN($AE21)+3,FALSE)</f>
        <v>H</v>
      </c>
      <c r="AQ21" s="40" t="str">
        <f>VLOOKUP($AE21,'⚙ Configure'!$P$4:$AC$13,COLUMN(AP21)-COLUMN($AE21)+3,FALSE)</f>
        <v>H</v>
      </c>
      <c r="AR21" s="90"/>
      <c r="AT21" s="97">
        <v>7</v>
      </c>
      <c r="AU21" s="72" t="str">
        <f>VLOOKUP($AT21,'⚙ Configure'!$P$17:$AC$26,COLUMN(AT21)-COLUMN($AT21)+3,FALSE)</f>
        <v>H</v>
      </c>
      <c r="AV21" s="72" t="str">
        <f>VLOOKUP($AT21,'⚙ Configure'!$P$17:$AC$26,COLUMN(AU21)-COLUMN($AT21)+3,FALSE)</f>
        <v>H</v>
      </c>
      <c r="AW21" s="72" t="str">
        <f>VLOOKUP($AT21,'⚙ Configure'!$P$17:$AC$26,COLUMN(AV21)-COLUMN($AT21)+3,FALSE)</f>
        <v>H</v>
      </c>
      <c r="AX21" s="72" t="str">
        <f>VLOOKUP($AT21,'⚙ Configure'!$P$17:$AC$26,COLUMN(AW21)-COLUMN($AT21)+3,FALSE)</f>
        <v>H</v>
      </c>
      <c r="AY21" s="72" t="str">
        <f>VLOOKUP($AT21,'⚙ Configure'!$P$17:$AC$26,COLUMN(AX21)-COLUMN($AT21)+3,FALSE)</f>
        <v>H</v>
      </c>
      <c r="AZ21" s="72" t="str">
        <f>VLOOKUP($AT21,'⚙ Configure'!$P$17:$AC$26,COLUMN(AY21)-COLUMN($AT21)+3,FALSE)</f>
        <v>H</v>
      </c>
      <c r="BA21" s="72" t="str">
        <f>VLOOKUP($AT21,'⚙ Configure'!$P$17:$AC$26,COLUMN(AZ21)-COLUMN($AT21)+3,FALSE)</f>
        <v>VH</v>
      </c>
      <c r="BB21" s="72" t="str">
        <f>VLOOKUP($AT21,'⚙ Configure'!$P$17:$AC$26,COLUMN(BA21)-COLUMN($AT21)+3,FALSE)</f>
        <v>VH</v>
      </c>
      <c r="BC21" s="72" t="str">
        <f>VLOOKUP($AT21,'⚙ Configure'!$P$17:$AC$26,COLUMN(BB21)-COLUMN($AT21)+3,FALSE)</f>
        <v>VH</v>
      </c>
      <c r="BD21" s="72" t="str">
        <f>VLOOKUP($AT21,'⚙ Configure'!$P$17:$AC$26,COLUMN(BC21)-COLUMN($AT21)+3,FALSE)</f>
        <v>VH</v>
      </c>
      <c r="BE21" s="72" t="str">
        <f>VLOOKUP($AT21,'⚙ Configure'!$P$17:$AC$26,COLUMN(BD21)-COLUMN($AT21)+3,FALSE)</f>
        <v>VH</v>
      </c>
      <c r="BF21" s="72" t="str">
        <f>VLOOKUP($AT21,'⚙ Configure'!$P$17:$AC$26,COLUMN(BE21)-COLUMN($AT21)+3,FALSE)</f>
        <v>VH</v>
      </c>
      <c r="BG21" s="94"/>
      <c r="BI21" s="92">
        <v>7</v>
      </c>
      <c r="BJ21" s="71" t="e">
        <f>IF(EXACT('⚙ Configure'!#REF!,""),"",'⚙ Configure'!#REF!)</f>
        <v>#REF!</v>
      </c>
      <c r="BK21" s="71"/>
      <c r="BL21" s="71"/>
      <c r="BM21" s="71"/>
      <c r="BN21" s="71"/>
      <c r="BO21" s="71"/>
      <c r="BP21" s="71"/>
      <c r="BQ21" s="71"/>
      <c r="BR21" s="71"/>
      <c r="BS21" s="12"/>
      <c r="BT21" s="12"/>
      <c r="BU21" s="12"/>
      <c r="BV21" s="93"/>
    </row>
    <row r="22" spans="1:74" ht="15" customHeight="1" x14ac:dyDescent="0.3">
      <c r="A22" s="84">
        <v>8</v>
      </c>
      <c r="B22" s="40" t="str">
        <f>VLOOKUP($A22,'⚙ Configure'!$A$4:$N$13,COLUMN(A22)-COLUMN($A22)+3,FALSE)</f>
        <v>VH</v>
      </c>
      <c r="C22" s="40" t="str">
        <f>VLOOKUP($A22,'⚙ Configure'!$A$4:$N$13,COLUMN(B22)-COLUMN($A22)+3,FALSE)</f>
        <v>VH</v>
      </c>
      <c r="D22" s="40" t="str">
        <f>VLOOKUP($A22,'⚙ Configure'!$A$4:$N$13,COLUMN(C22)-COLUMN($A22)+3,FALSE)</f>
        <v>VH</v>
      </c>
      <c r="E22" s="40" t="str">
        <f>VLOOKUP($A22,'⚙ Configure'!$A$4:$N$13,COLUMN(D22)-COLUMN($A22)+3,FALSE)</f>
        <v>VH</v>
      </c>
      <c r="F22" s="40" t="str">
        <f>VLOOKUP($A22,'⚙ Configure'!$A$4:$N$13,COLUMN(E22)-COLUMN($A22)+3,FALSE)</f>
        <v>H</v>
      </c>
      <c r="G22" s="40" t="str">
        <f>VLOOKUP($A22,'⚙ Configure'!$A$4:$N$13,COLUMN(F22)-COLUMN($A22)+3,FALSE)</f>
        <v>H</v>
      </c>
      <c r="H22" s="40" t="str">
        <f>VLOOKUP($A22,'⚙ Configure'!$A$4:$N$13,COLUMN(G22)-COLUMN($A22)+3,FALSE)</f>
        <v>H</v>
      </c>
      <c r="I22" s="40" t="str">
        <f>VLOOKUP($A22,'⚙ Configure'!$A$4:$N$13,COLUMN(H22)-COLUMN($A22)+3,FALSE)</f>
        <v>H</v>
      </c>
      <c r="J22" s="40" t="str">
        <f>VLOOKUP($A22,'⚙ Configure'!$A$4:$N$13,COLUMN(I22)-COLUMN($A22)+3,FALSE)</f>
        <v>H</v>
      </c>
      <c r="K22" s="40" t="str">
        <f>VLOOKUP($A22,'⚙ Configure'!$A$4:$N$13,COLUMN(J22)-COLUMN($A22)+3,FALSE)</f>
        <v>H</v>
      </c>
      <c r="L22" s="40" t="str">
        <f>VLOOKUP($A22,'⚙ Configure'!$A$4:$N$13,COLUMN(K22)-COLUMN($A22)+3,FALSE)</f>
        <v>M</v>
      </c>
      <c r="M22" s="40" t="str">
        <f>VLOOKUP($A22,'⚙ Configure'!$A$4:$N$13,COLUMN(L22)-COLUMN($A22)+3,FALSE)</f>
        <v>M</v>
      </c>
      <c r="N22" s="81"/>
      <c r="P22" s="86">
        <v>8</v>
      </c>
      <c r="Q22" s="40" t="str">
        <f>VLOOKUP($P22,'⚙ Configure'!$A$17:$N$26,COLUMN(P22)-COLUMN($P22)+3,FALSE)</f>
        <v>VH</v>
      </c>
      <c r="R22" s="40" t="str">
        <f>VLOOKUP($P22,'⚙ Configure'!$A$17:$N$26,COLUMN(Q22)-COLUMN($P22)+3,FALSE)</f>
        <v>VH</v>
      </c>
      <c r="S22" s="40" t="str">
        <f>VLOOKUP($P22,'⚙ Configure'!$A$17:$N$26,COLUMN(R22)-COLUMN($P22)+3,FALSE)</f>
        <v>VH</v>
      </c>
      <c r="T22" s="40" t="str">
        <f>VLOOKUP($P22,'⚙ Configure'!$A$17:$N$26,COLUMN(S22)-COLUMN($P22)+3,FALSE)</f>
        <v>VH</v>
      </c>
      <c r="U22" s="40" t="str">
        <f>VLOOKUP($P22,'⚙ Configure'!$A$17:$N$26,COLUMN(T22)-COLUMN($P22)+3,FALSE)</f>
        <v>VH</v>
      </c>
      <c r="V22" s="40" t="str">
        <f>VLOOKUP($P22,'⚙ Configure'!$A$17:$N$26,COLUMN(U22)-COLUMN($P22)+3,FALSE)</f>
        <v>VH</v>
      </c>
      <c r="W22" s="40" t="str">
        <f>VLOOKUP($P22,'⚙ Configure'!$A$17:$N$26,COLUMN(V22)-COLUMN($P22)+3,FALSE)</f>
        <v>H</v>
      </c>
      <c r="X22" s="40" t="str">
        <f>VLOOKUP($P22,'⚙ Configure'!$A$17:$N$26,COLUMN(W22)-COLUMN($P22)+3,FALSE)</f>
        <v>H</v>
      </c>
      <c r="Y22" s="40" t="str">
        <f>VLOOKUP($P22,'⚙ Configure'!$A$17:$N$26,COLUMN(X22)-COLUMN($P22)+3,FALSE)</f>
        <v>M</v>
      </c>
      <c r="Z22" s="40" t="str">
        <f>VLOOKUP($P22,'⚙ Configure'!$A$17:$N$26,COLUMN(Y22)-COLUMN($P22)+3,FALSE)</f>
        <v>M</v>
      </c>
      <c r="AA22" s="40" t="str">
        <f>VLOOKUP($P22,'⚙ Configure'!$A$17:$N$26,COLUMN(Z22)-COLUMN($P22)+3,FALSE)</f>
        <v>M</v>
      </c>
      <c r="AB22" s="40" t="str">
        <f>VLOOKUP($P22,'⚙ Configure'!$A$17:$N$26,COLUMN(AA22)-COLUMN($P22)+3,FALSE)</f>
        <v>L</v>
      </c>
      <c r="AC22" s="99"/>
      <c r="AE22" s="88">
        <v>8</v>
      </c>
      <c r="AF22" s="40" t="str">
        <f>VLOOKUP($AE22,'⚙ Configure'!$P$4:$AC$13,COLUMN(AE22)-COLUMN($AE22)+3,FALSE)</f>
        <v>H</v>
      </c>
      <c r="AG22" s="40" t="str">
        <f>VLOOKUP($AE22,'⚙ Configure'!$P$4:$AC$13,COLUMN(AF22)-COLUMN($AE22)+3,FALSE)</f>
        <v>H</v>
      </c>
      <c r="AH22" s="40" t="str">
        <f>VLOOKUP($AE22,'⚙ Configure'!$P$4:$AC$13,COLUMN(AG22)-COLUMN($AE22)+3,FALSE)</f>
        <v>H</v>
      </c>
      <c r="AI22" s="40" t="str">
        <f>VLOOKUP($AE22,'⚙ Configure'!$P$4:$AC$13,COLUMN(AH22)-COLUMN($AE22)+3,FALSE)</f>
        <v>H</v>
      </c>
      <c r="AJ22" s="40" t="str">
        <f>VLOOKUP($AE22,'⚙ Configure'!$P$4:$AC$13,COLUMN(AI22)-COLUMN($AE22)+3,FALSE)</f>
        <v>H</v>
      </c>
      <c r="AK22" s="40" t="str">
        <f>VLOOKUP($AE22,'⚙ Configure'!$P$4:$AC$13,COLUMN(AJ22)-COLUMN($AE22)+3,FALSE)</f>
        <v>H</v>
      </c>
      <c r="AL22" s="40" t="str">
        <f>VLOOKUP($AE22,'⚙ Configure'!$P$4:$AC$13,COLUMN(AK22)-COLUMN($AE22)+3,FALSE)</f>
        <v>H</v>
      </c>
      <c r="AM22" s="40" t="str">
        <f>VLOOKUP($AE22,'⚙ Configure'!$P$4:$AC$13,COLUMN(AL22)-COLUMN($AE22)+3,FALSE)</f>
        <v>H</v>
      </c>
      <c r="AN22" s="40" t="str">
        <f>VLOOKUP($AE22,'⚙ Configure'!$P$4:$AC$13,COLUMN(AM22)-COLUMN($AE22)+3,FALSE)</f>
        <v>H</v>
      </c>
      <c r="AO22" s="40" t="str">
        <f>VLOOKUP($AE22,'⚙ Configure'!$P$4:$AC$13,COLUMN(AN22)-COLUMN($AE22)+3,FALSE)</f>
        <v>H</v>
      </c>
      <c r="AP22" s="40" t="str">
        <f>VLOOKUP($AE22,'⚙ Configure'!$P$4:$AC$13,COLUMN(AO22)-COLUMN($AE22)+3,FALSE)</f>
        <v>H</v>
      </c>
      <c r="AQ22" s="40" t="str">
        <f>VLOOKUP($AE22,'⚙ Configure'!$P$4:$AC$13,COLUMN(AP22)-COLUMN($AE22)+3,FALSE)</f>
        <v>H</v>
      </c>
      <c r="AR22" s="90"/>
      <c r="AT22" s="97">
        <v>8</v>
      </c>
      <c r="AU22" s="72" t="str">
        <f>VLOOKUP($AT22,'⚙ Configure'!$P$17:$AC$26,COLUMN(AT22)-COLUMN($AT22)+3,FALSE)</f>
        <v>H</v>
      </c>
      <c r="AV22" s="72" t="str">
        <f>VLOOKUP($AT22,'⚙ Configure'!$P$17:$AC$26,COLUMN(AU22)-COLUMN($AT22)+3,FALSE)</f>
        <v>H</v>
      </c>
      <c r="AW22" s="72" t="str">
        <f>VLOOKUP($AT22,'⚙ Configure'!$P$17:$AC$26,COLUMN(AV22)-COLUMN($AT22)+3,FALSE)</f>
        <v>H</v>
      </c>
      <c r="AX22" s="72" t="str">
        <f>VLOOKUP($AT22,'⚙ Configure'!$P$17:$AC$26,COLUMN(AW22)-COLUMN($AT22)+3,FALSE)</f>
        <v>H</v>
      </c>
      <c r="AY22" s="72" t="str">
        <f>VLOOKUP($AT22,'⚙ Configure'!$P$17:$AC$26,COLUMN(AX22)-COLUMN($AT22)+3,FALSE)</f>
        <v>H</v>
      </c>
      <c r="AZ22" s="72" t="str">
        <f>VLOOKUP($AT22,'⚙ Configure'!$P$17:$AC$26,COLUMN(AY22)-COLUMN($AT22)+3,FALSE)</f>
        <v>H</v>
      </c>
      <c r="BA22" s="72" t="str">
        <f>VLOOKUP($AT22,'⚙ Configure'!$P$17:$AC$26,COLUMN(AZ22)-COLUMN($AT22)+3,FALSE)</f>
        <v>VH</v>
      </c>
      <c r="BB22" s="72" t="str">
        <f>VLOOKUP($AT22,'⚙ Configure'!$P$17:$AC$26,COLUMN(BA22)-COLUMN($AT22)+3,FALSE)</f>
        <v>VH</v>
      </c>
      <c r="BC22" s="72" t="str">
        <f>VLOOKUP($AT22,'⚙ Configure'!$P$17:$AC$26,COLUMN(BB22)-COLUMN($AT22)+3,FALSE)</f>
        <v>VH</v>
      </c>
      <c r="BD22" s="72" t="str">
        <f>VLOOKUP($AT22,'⚙ Configure'!$P$17:$AC$26,COLUMN(BC22)-COLUMN($AT22)+3,FALSE)</f>
        <v>VH</v>
      </c>
      <c r="BE22" s="72" t="str">
        <f>VLOOKUP($AT22,'⚙ Configure'!$P$17:$AC$26,COLUMN(BD22)-COLUMN($AT22)+3,FALSE)</f>
        <v>VH</v>
      </c>
      <c r="BF22" s="72" t="str">
        <f>VLOOKUP($AT22,'⚙ Configure'!$P$17:$AC$26,COLUMN(BE22)-COLUMN($AT22)+3,FALSE)</f>
        <v>VH</v>
      </c>
      <c r="BG22" s="94"/>
      <c r="BI22" s="92">
        <v>8</v>
      </c>
      <c r="BJ22" s="71" t="e">
        <f>IF(EXACT('⚙ Configure'!#REF!,""),"",'⚙ Configure'!#REF!)</f>
        <v>#REF!</v>
      </c>
      <c r="BK22" s="71"/>
      <c r="BL22" s="71"/>
      <c r="BM22" s="71"/>
      <c r="BN22" s="71"/>
      <c r="BO22" s="71"/>
      <c r="BP22" s="71"/>
      <c r="BQ22" s="71"/>
      <c r="BR22" s="71"/>
      <c r="BS22" s="12"/>
      <c r="BT22" s="12"/>
      <c r="BU22" s="12"/>
      <c r="BV22" s="93"/>
    </row>
    <row r="23" spans="1:74" ht="15" customHeight="1" x14ac:dyDescent="0.3">
      <c r="A23" s="84">
        <v>9</v>
      </c>
      <c r="B23" s="40" t="str">
        <f>VLOOKUP($A23,'⚙ Configure'!$A$4:$N$13,COLUMN(A23)-COLUMN($A23)+3,FALSE)</f>
        <v>VH</v>
      </c>
      <c r="C23" s="40" t="str">
        <f>VLOOKUP($A23,'⚙ Configure'!$A$4:$N$13,COLUMN(B23)-COLUMN($A23)+3,FALSE)</f>
        <v>VH</v>
      </c>
      <c r="D23" s="40" t="str">
        <f>VLOOKUP($A23,'⚙ Configure'!$A$4:$N$13,COLUMN(C23)-COLUMN($A23)+3,FALSE)</f>
        <v>VH</v>
      </c>
      <c r="E23" s="40" t="str">
        <f>VLOOKUP($A23,'⚙ Configure'!$A$4:$N$13,COLUMN(D23)-COLUMN($A23)+3,FALSE)</f>
        <v>VH</v>
      </c>
      <c r="F23" s="40" t="str">
        <f>VLOOKUP($A23,'⚙ Configure'!$A$4:$N$13,COLUMN(E23)-COLUMN($A23)+3,FALSE)</f>
        <v>VH</v>
      </c>
      <c r="G23" s="40" t="str">
        <f>VLOOKUP($A23,'⚙ Configure'!$A$4:$N$13,COLUMN(F23)-COLUMN($A23)+3,FALSE)</f>
        <v>VH</v>
      </c>
      <c r="H23" s="40" t="str">
        <f>VLOOKUP($A23,'⚙ Configure'!$A$4:$N$13,COLUMN(G23)-COLUMN($A23)+3,FALSE)</f>
        <v>H</v>
      </c>
      <c r="I23" s="40" t="str">
        <f>VLOOKUP($A23,'⚙ Configure'!$A$4:$N$13,COLUMN(H23)-COLUMN($A23)+3,FALSE)</f>
        <v>H</v>
      </c>
      <c r="J23" s="40" t="str">
        <f>VLOOKUP($A23,'⚙ Configure'!$A$4:$N$13,COLUMN(I23)-COLUMN($A23)+3,FALSE)</f>
        <v>H</v>
      </c>
      <c r="K23" s="40" t="str">
        <f>VLOOKUP($A23,'⚙ Configure'!$A$4:$N$13,COLUMN(J23)-COLUMN($A23)+3,FALSE)</f>
        <v>H</v>
      </c>
      <c r="L23" s="40" t="str">
        <f>VLOOKUP($A23,'⚙ Configure'!$A$4:$N$13,COLUMN(K23)-COLUMN($A23)+3,FALSE)</f>
        <v>H</v>
      </c>
      <c r="M23" s="40" t="str">
        <f>VLOOKUP($A23,'⚙ Configure'!$A$4:$N$13,COLUMN(L23)-COLUMN($A23)+3,FALSE)</f>
        <v>H</v>
      </c>
      <c r="N23" s="81"/>
      <c r="P23" s="86">
        <v>9</v>
      </c>
      <c r="Q23" s="40" t="str">
        <f>VLOOKUP($P23,'⚙ Configure'!$A$17:$N$26,COLUMN(P23)-COLUMN($P23)+3,FALSE)</f>
        <v>VH</v>
      </c>
      <c r="R23" s="40" t="str">
        <f>VLOOKUP($P23,'⚙ Configure'!$A$17:$N$26,COLUMN(Q23)-COLUMN($P23)+3,FALSE)</f>
        <v>VH</v>
      </c>
      <c r="S23" s="40" t="str">
        <f>VLOOKUP($P23,'⚙ Configure'!$A$17:$N$26,COLUMN(R23)-COLUMN($P23)+3,FALSE)</f>
        <v>VH</v>
      </c>
      <c r="T23" s="40" t="str">
        <f>VLOOKUP($P23,'⚙ Configure'!$A$17:$N$26,COLUMN(S23)-COLUMN($P23)+3,FALSE)</f>
        <v>VH</v>
      </c>
      <c r="U23" s="40" t="str">
        <f>VLOOKUP($P23,'⚙ Configure'!$A$17:$N$26,COLUMN(T23)-COLUMN($P23)+3,FALSE)</f>
        <v>VH</v>
      </c>
      <c r="V23" s="40" t="str">
        <f>VLOOKUP($P23,'⚙ Configure'!$A$17:$N$26,COLUMN(U23)-COLUMN($P23)+3,FALSE)</f>
        <v>VH</v>
      </c>
      <c r="W23" s="40" t="str">
        <f>VLOOKUP($P23,'⚙ Configure'!$A$17:$N$26,COLUMN(V23)-COLUMN($P23)+3,FALSE)</f>
        <v>VH</v>
      </c>
      <c r="X23" s="40" t="str">
        <f>VLOOKUP($P23,'⚙ Configure'!$A$17:$N$26,COLUMN(W23)-COLUMN($P23)+3,FALSE)</f>
        <v>H</v>
      </c>
      <c r="Y23" s="40" t="str">
        <f>VLOOKUP($P23,'⚙ Configure'!$A$17:$N$26,COLUMN(X23)-COLUMN($P23)+3,FALSE)</f>
        <v>H</v>
      </c>
      <c r="Z23" s="40" t="str">
        <f>VLOOKUP($P23,'⚙ Configure'!$A$17:$N$26,COLUMN(Y23)-COLUMN($P23)+3,FALSE)</f>
        <v>M</v>
      </c>
      <c r="AA23" s="40" t="str">
        <f>VLOOKUP($P23,'⚙ Configure'!$A$17:$N$26,COLUMN(Z23)-COLUMN($P23)+3,FALSE)</f>
        <v>M</v>
      </c>
      <c r="AB23" s="40" t="str">
        <f>VLOOKUP($P23,'⚙ Configure'!$A$17:$N$26,COLUMN(AA23)-COLUMN($P23)+3,FALSE)</f>
        <v>L</v>
      </c>
      <c r="AC23" s="99"/>
      <c r="AE23" s="88">
        <v>9</v>
      </c>
      <c r="AF23" s="40" t="str">
        <f>VLOOKUP($AE23,'⚙ Configure'!$P$4:$AC$13,COLUMN(AE23)-COLUMN($AE23)+3,FALSE)</f>
        <v>VH</v>
      </c>
      <c r="AG23" s="40" t="str">
        <f>VLOOKUP($AE23,'⚙ Configure'!$P$4:$AC$13,COLUMN(AF23)-COLUMN($AE23)+3,FALSE)</f>
        <v>VH</v>
      </c>
      <c r="AH23" s="40" t="str">
        <f>VLOOKUP($AE23,'⚙ Configure'!$P$4:$AC$13,COLUMN(AG23)-COLUMN($AE23)+3,FALSE)</f>
        <v>VH</v>
      </c>
      <c r="AI23" s="40" t="str">
        <f>VLOOKUP($AE23,'⚙ Configure'!$P$4:$AC$13,COLUMN(AH23)-COLUMN($AE23)+3,FALSE)</f>
        <v>VH</v>
      </c>
      <c r="AJ23" s="40" t="str">
        <f>VLOOKUP($AE23,'⚙ Configure'!$P$4:$AC$13,COLUMN(AI23)-COLUMN($AE23)+3,FALSE)</f>
        <v>VH</v>
      </c>
      <c r="AK23" s="40" t="str">
        <f>VLOOKUP($AE23,'⚙ Configure'!$P$4:$AC$13,COLUMN(AJ23)-COLUMN($AE23)+3,FALSE)</f>
        <v>VH</v>
      </c>
      <c r="AL23" s="40" t="str">
        <f>VLOOKUP($AE23,'⚙ Configure'!$P$4:$AC$13,COLUMN(AK23)-COLUMN($AE23)+3,FALSE)</f>
        <v>VH</v>
      </c>
      <c r="AM23" s="40" t="str">
        <f>VLOOKUP($AE23,'⚙ Configure'!$P$4:$AC$13,COLUMN(AL23)-COLUMN($AE23)+3,FALSE)</f>
        <v>VH</v>
      </c>
      <c r="AN23" s="40" t="str">
        <f>VLOOKUP($AE23,'⚙ Configure'!$P$4:$AC$13,COLUMN(AM23)-COLUMN($AE23)+3,FALSE)</f>
        <v>VH</v>
      </c>
      <c r="AO23" s="40" t="str">
        <f>VLOOKUP($AE23,'⚙ Configure'!$P$4:$AC$13,COLUMN(AN23)-COLUMN($AE23)+3,FALSE)</f>
        <v>VH</v>
      </c>
      <c r="AP23" s="40" t="str">
        <f>VLOOKUP($AE23,'⚙ Configure'!$P$4:$AC$13,COLUMN(AO23)-COLUMN($AE23)+3,FALSE)</f>
        <v>VH</v>
      </c>
      <c r="AQ23" s="40" t="str">
        <f>VLOOKUP($AE23,'⚙ Configure'!$P$4:$AC$13,COLUMN(AP23)-COLUMN($AE23)+3,FALSE)</f>
        <v>VH</v>
      </c>
      <c r="AR23" s="90"/>
      <c r="AT23" s="97">
        <v>9</v>
      </c>
      <c r="AU23" s="72" t="str">
        <f>VLOOKUP($AT23,'⚙ Configure'!$P$17:$AC$26,COLUMN(AT23)-COLUMN($AT23)+3,FALSE)</f>
        <v>H</v>
      </c>
      <c r="AV23" s="72" t="str">
        <f>VLOOKUP($AT23,'⚙ Configure'!$P$17:$AC$26,COLUMN(AU23)-COLUMN($AT23)+3,FALSE)</f>
        <v>H</v>
      </c>
      <c r="AW23" s="72" t="str">
        <f>VLOOKUP($AT23,'⚙ Configure'!$P$17:$AC$26,COLUMN(AV23)-COLUMN($AT23)+3,FALSE)</f>
        <v>H</v>
      </c>
      <c r="AX23" s="72" t="str">
        <f>VLOOKUP($AT23,'⚙ Configure'!$P$17:$AC$26,COLUMN(AW23)-COLUMN($AT23)+3,FALSE)</f>
        <v>VH</v>
      </c>
      <c r="AY23" s="72" t="str">
        <f>VLOOKUP($AT23,'⚙ Configure'!$P$17:$AC$26,COLUMN(AX23)-COLUMN($AT23)+3,FALSE)</f>
        <v>VH</v>
      </c>
      <c r="AZ23" s="72" t="str">
        <f>VLOOKUP($AT23,'⚙ Configure'!$P$17:$AC$26,COLUMN(AY23)-COLUMN($AT23)+3,FALSE)</f>
        <v>VH</v>
      </c>
      <c r="BA23" s="72" t="str">
        <f>VLOOKUP($AT23,'⚙ Configure'!$P$17:$AC$26,COLUMN(AZ23)-COLUMN($AT23)+3,FALSE)</f>
        <v>VH</v>
      </c>
      <c r="BB23" s="72" t="str">
        <f>VLOOKUP($AT23,'⚙ Configure'!$P$17:$AC$26,COLUMN(BA23)-COLUMN($AT23)+3,FALSE)</f>
        <v>VH</v>
      </c>
      <c r="BC23" s="72" t="str">
        <f>VLOOKUP($AT23,'⚙ Configure'!$P$17:$AC$26,COLUMN(BB23)-COLUMN($AT23)+3,FALSE)</f>
        <v>VH</v>
      </c>
      <c r="BD23" s="72" t="str">
        <f>VLOOKUP($AT23,'⚙ Configure'!$P$17:$AC$26,COLUMN(BC23)-COLUMN($AT23)+3,FALSE)</f>
        <v>VH</v>
      </c>
      <c r="BE23" s="72" t="str">
        <f>VLOOKUP($AT23,'⚙ Configure'!$P$17:$AC$26,COLUMN(BD23)-COLUMN($AT23)+3,FALSE)</f>
        <v>VH</v>
      </c>
      <c r="BF23" s="72" t="str">
        <f>VLOOKUP($AT23,'⚙ Configure'!$P$17:$AC$26,COLUMN(BE23)-COLUMN($AT23)+3,FALSE)</f>
        <v>VH</v>
      </c>
      <c r="BG23" s="94"/>
      <c r="BI23" s="92">
        <v>9</v>
      </c>
      <c r="BJ23" s="71" t="e">
        <f>IF(EXACT('⚙ Configure'!#REF!,""),"",'⚙ Configure'!#REF!)</f>
        <v>#REF!</v>
      </c>
      <c r="BK23" s="71"/>
      <c r="BL23" s="71"/>
      <c r="BM23" s="71"/>
      <c r="BN23" s="71"/>
      <c r="BO23" s="71"/>
      <c r="BP23" s="71"/>
      <c r="BQ23" s="71"/>
      <c r="BR23" s="71"/>
      <c r="BS23" s="12"/>
      <c r="BT23" s="12"/>
      <c r="BU23" s="12"/>
      <c r="BV23" s="93"/>
    </row>
    <row r="24" spans="1:74" ht="15" customHeight="1" x14ac:dyDescent="0.3">
      <c r="A24" s="84">
        <v>10</v>
      </c>
      <c r="B24" s="40" t="str">
        <f>VLOOKUP($A24,'⚙ Configure'!$A$4:$N$13,COLUMN(A24)-COLUMN($A24)+3,FALSE)</f>
        <v>VH</v>
      </c>
      <c r="C24" s="40" t="str">
        <f>VLOOKUP($A24,'⚙ Configure'!$A$4:$N$13,COLUMN(B24)-COLUMN($A24)+3,FALSE)</f>
        <v>VH</v>
      </c>
      <c r="D24" s="40" t="str">
        <f>VLOOKUP($A24,'⚙ Configure'!$A$4:$N$13,COLUMN(C24)-COLUMN($A24)+3,FALSE)</f>
        <v>VH</v>
      </c>
      <c r="E24" s="40" t="str">
        <f>VLOOKUP($A24,'⚙ Configure'!$A$4:$N$13,COLUMN(D24)-COLUMN($A24)+3,FALSE)</f>
        <v>VH</v>
      </c>
      <c r="F24" s="40" t="str">
        <f>VLOOKUP($A24,'⚙ Configure'!$A$4:$N$13,COLUMN(E24)-COLUMN($A24)+3,FALSE)</f>
        <v>VH</v>
      </c>
      <c r="G24" s="40" t="str">
        <f>VLOOKUP($A24,'⚙ Configure'!$A$4:$N$13,COLUMN(F24)-COLUMN($A24)+3,FALSE)</f>
        <v>VH</v>
      </c>
      <c r="H24" s="40" t="str">
        <f>VLOOKUP($A24,'⚙ Configure'!$A$4:$N$13,COLUMN(G24)-COLUMN($A24)+3,FALSE)</f>
        <v>VH</v>
      </c>
      <c r="I24" s="40" t="str">
        <f>VLOOKUP($A24,'⚙ Configure'!$A$4:$N$13,COLUMN(H24)-COLUMN($A24)+3,FALSE)</f>
        <v>VH</v>
      </c>
      <c r="J24" s="40" t="str">
        <f>VLOOKUP($A24,'⚙ Configure'!$A$4:$N$13,COLUMN(I24)-COLUMN($A24)+3,FALSE)</f>
        <v>H</v>
      </c>
      <c r="K24" s="40" t="str">
        <f>VLOOKUP($A24,'⚙ Configure'!$A$4:$N$13,COLUMN(J24)-COLUMN($A24)+3,FALSE)</f>
        <v>H</v>
      </c>
      <c r="L24" s="40" t="str">
        <f>VLOOKUP($A24,'⚙ Configure'!$A$4:$N$13,COLUMN(K24)-COLUMN($A24)+3,FALSE)</f>
        <v>H</v>
      </c>
      <c r="M24" s="40" t="str">
        <f>VLOOKUP($A24,'⚙ Configure'!$A$4:$N$13,COLUMN(L24)-COLUMN($A24)+3,FALSE)</f>
        <v>H</v>
      </c>
      <c r="N24" s="81"/>
      <c r="P24" s="86">
        <v>10</v>
      </c>
      <c r="Q24" s="40" t="str">
        <f>VLOOKUP($P24,'⚙ Configure'!$A$17:$N$26,COLUMN(P24)-COLUMN($P24)+3,FALSE)</f>
        <v>VH</v>
      </c>
      <c r="R24" s="40" t="str">
        <f>VLOOKUP($P24,'⚙ Configure'!$A$17:$N$26,COLUMN(Q24)-COLUMN($P24)+3,FALSE)</f>
        <v>VH</v>
      </c>
      <c r="S24" s="40" t="str">
        <f>VLOOKUP($P24,'⚙ Configure'!$A$17:$N$26,COLUMN(R24)-COLUMN($P24)+3,FALSE)</f>
        <v>VH</v>
      </c>
      <c r="T24" s="40" t="str">
        <f>VLOOKUP($P24,'⚙ Configure'!$A$17:$N$26,COLUMN(S24)-COLUMN($P24)+3,FALSE)</f>
        <v>VH</v>
      </c>
      <c r="U24" s="40" t="str">
        <f>VLOOKUP($P24,'⚙ Configure'!$A$17:$N$26,COLUMN(T24)-COLUMN($P24)+3,FALSE)</f>
        <v>VH</v>
      </c>
      <c r="V24" s="40" t="str">
        <f>VLOOKUP($P24,'⚙ Configure'!$A$17:$N$26,COLUMN(U24)-COLUMN($P24)+3,FALSE)</f>
        <v>VH</v>
      </c>
      <c r="W24" s="40" t="str">
        <f>VLOOKUP($P24,'⚙ Configure'!$A$17:$N$26,COLUMN(V24)-COLUMN($P24)+3,FALSE)</f>
        <v>VH</v>
      </c>
      <c r="X24" s="40" t="str">
        <f>VLOOKUP($P24,'⚙ Configure'!$A$17:$N$26,COLUMN(W24)-COLUMN($P24)+3,FALSE)</f>
        <v>H</v>
      </c>
      <c r="Y24" s="40" t="str">
        <f>VLOOKUP($P24,'⚙ Configure'!$A$17:$N$26,COLUMN(X24)-COLUMN($P24)+3,FALSE)</f>
        <v>H</v>
      </c>
      <c r="Z24" s="40" t="str">
        <f>VLOOKUP($P24,'⚙ Configure'!$A$17:$N$26,COLUMN(Y24)-COLUMN($P24)+3,FALSE)</f>
        <v>M</v>
      </c>
      <c r="AA24" s="40" t="str">
        <f>VLOOKUP($P24,'⚙ Configure'!$A$17:$N$26,COLUMN(Z24)-COLUMN($P24)+3,FALSE)</f>
        <v>M</v>
      </c>
      <c r="AB24" s="40" t="str">
        <f>VLOOKUP($P24,'⚙ Configure'!$A$17:$N$26,COLUMN(AA24)-COLUMN($P24)+3,FALSE)</f>
        <v>L</v>
      </c>
      <c r="AC24" s="99"/>
      <c r="AE24" s="88">
        <v>10</v>
      </c>
      <c r="AF24" s="40" t="str">
        <f>VLOOKUP($AE24,'⚙ Configure'!$P$4:$AC$13,COLUMN(AE24)-COLUMN($AE24)+3,FALSE)</f>
        <v>VH</v>
      </c>
      <c r="AG24" s="40" t="str">
        <f>VLOOKUP($AE24,'⚙ Configure'!$P$4:$AC$13,COLUMN(AF24)-COLUMN($AE24)+3,FALSE)</f>
        <v>VH</v>
      </c>
      <c r="AH24" s="40" t="str">
        <f>VLOOKUP($AE24,'⚙ Configure'!$P$4:$AC$13,COLUMN(AG24)-COLUMN($AE24)+3,FALSE)</f>
        <v>VH</v>
      </c>
      <c r="AI24" s="40" t="str">
        <f>VLOOKUP($AE24,'⚙ Configure'!$P$4:$AC$13,COLUMN(AH24)-COLUMN($AE24)+3,FALSE)</f>
        <v>VH</v>
      </c>
      <c r="AJ24" s="40" t="str">
        <f>VLOOKUP($AE24,'⚙ Configure'!$P$4:$AC$13,COLUMN(AI24)-COLUMN($AE24)+3,FALSE)</f>
        <v>VH</v>
      </c>
      <c r="AK24" s="40" t="str">
        <f>VLOOKUP($AE24,'⚙ Configure'!$P$4:$AC$13,COLUMN(AJ24)-COLUMN($AE24)+3,FALSE)</f>
        <v>VH</v>
      </c>
      <c r="AL24" s="40" t="str">
        <f>VLOOKUP($AE24,'⚙ Configure'!$P$4:$AC$13,COLUMN(AK24)-COLUMN($AE24)+3,FALSE)</f>
        <v>VH</v>
      </c>
      <c r="AM24" s="40" t="str">
        <f>VLOOKUP($AE24,'⚙ Configure'!$P$4:$AC$13,COLUMN(AL24)-COLUMN($AE24)+3,FALSE)</f>
        <v>VH</v>
      </c>
      <c r="AN24" s="40" t="str">
        <f>VLOOKUP($AE24,'⚙ Configure'!$P$4:$AC$13,COLUMN(AM24)-COLUMN($AE24)+3,FALSE)</f>
        <v>VH</v>
      </c>
      <c r="AO24" s="40" t="str">
        <f>VLOOKUP($AE24,'⚙ Configure'!$P$4:$AC$13,COLUMN(AN24)-COLUMN($AE24)+3,FALSE)</f>
        <v>VH</v>
      </c>
      <c r="AP24" s="40" t="str">
        <f>VLOOKUP($AE24,'⚙ Configure'!$P$4:$AC$13,COLUMN(AO24)-COLUMN($AE24)+3,FALSE)</f>
        <v>VH</v>
      </c>
      <c r="AQ24" s="40" t="str">
        <f>VLOOKUP($AE24,'⚙ Configure'!$P$4:$AC$13,COLUMN(AP24)-COLUMN($AE24)+3,FALSE)</f>
        <v>VH</v>
      </c>
      <c r="AR24" s="90"/>
      <c r="AT24" s="97">
        <v>10</v>
      </c>
      <c r="AU24" s="72" t="str">
        <f>VLOOKUP($AT24,'⚙ Configure'!$P$17:$AC$26,COLUMN(AT24)-COLUMN($AT24)+3,FALSE)</f>
        <v>VH</v>
      </c>
      <c r="AV24" s="72" t="str">
        <f>VLOOKUP($AT24,'⚙ Configure'!$P$17:$AC$26,COLUMN(AU24)-COLUMN($AT24)+3,FALSE)</f>
        <v>VH</v>
      </c>
      <c r="AW24" s="72" t="str">
        <f>VLOOKUP($AT24,'⚙ Configure'!$P$17:$AC$26,COLUMN(AV24)-COLUMN($AT24)+3,FALSE)</f>
        <v>VH</v>
      </c>
      <c r="AX24" s="72" t="str">
        <f>VLOOKUP($AT24,'⚙ Configure'!$P$17:$AC$26,COLUMN(AW24)-COLUMN($AT24)+3,FALSE)</f>
        <v>VH</v>
      </c>
      <c r="AY24" s="72" t="str">
        <f>VLOOKUP($AT24,'⚙ Configure'!$P$17:$AC$26,COLUMN(AX24)-COLUMN($AT24)+3,FALSE)</f>
        <v>VH</v>
      </c>
      <c r="AZ24" s="72" t="str">
        <f>VLOOKUP($AT24,'⚙ Configure'!$P$17:$AC$26,COLUMN(AY24)-COLUMN($AT24)+3,FALSE)</f>
        <v>VH</v>
      </c>
      <c r="BA24" s="72" t="str">
        <f>VLOOKUP($AT24,'⚙ Configure'!$P$17:$AC$26,COLUMN(AZ24)-COLUMN($AT24)+3,FALSE)</f>
        <v>VH</v>
      </c>
      <c r="BB24" s="72" t="str">
        <f>VLOOKUP($AT24,'⚙ Configure'!$P$17:$AC$26,COLUMN(BA24)-COLUMN($AT24)+3,FALSE)</f>
        <v>VH</v>
      </c>
      <c r="BC24" s="72" t="str">
        <f>VLOOKUP($AT24,'⚙ Configure'!$P$17:$AC$26,COLUMN(BB24)-COLUMN($AT24)+3,FALSE)</f>
        <v>VH</v>
      </c>
      <c r="BD24" s="72" t="str">
        <f>VLOOKUP($AT24,'⚙ Configure'!$P$17:$AC$26,COLUMN(BC24)-COLUMN($AT24)+3,FALSE)</f>
        <v>VH</v>
      </c>
      <c r="BE24" s="72" t="str">
        <f>VLOOKUP($AT24,'⚙ Configure'!$P$17:$AC$26,COLUMN(BD24)-COLUMN($AT24)+3,FALSE)</f>
        <v>VH</v>
      </c>
      <c r="BF24" s="72" t="str">
        <f>VLOOKUP($AT24,'⚙ Configure'!$P$17:$AC$26,COLUMN(BE24)-COLUMN($AT24)+3,FALSE)</f>
        <v>VH</v>
      </c>
      <c r="BG24" s="94"/>
      <c r="BI24" s="92">
        <v>10</v>
      </c>
      <c r="BJ24" s="71" t="e">
        <f>IF(EXACT('⚙ Configure'!#REF!,""),"",'⚙ Configure'!#REF!)</f>
        <v>#REF!</v>
      </c>
      <c r="BK24" s="71"/>
      <c r="BL24" s="71"/>
      <c r="BM24" s="71"/>
      <c r="BN24" s="71"/>
      <c r="BO24" s="71"/>
      <c r="BP24" s="71"/>
      <c r="BQ24" s="71"/>
      <c r="BR24" s="71"/>
      <c r="BS24" s="12"/>
      <c r="BT24" s="12"/>
      <c r="BU24" s="12"/>
      <c r="BV24" s="93"/>
    </row>
    <row r="25" spans="1:74" ht="15" customHeight="1" x14ac:dyDescent="0.3"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10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89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8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80"/>
    </row>
    <row r="26" spans="1:74" s="103" customFormat="1" ht="15" customHeight="1" x14ac:dyDescent="0.35">
      <c r="A26" s="101" t="s">
        <v>110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P26" s="101" t="s">
        <v>110</v>
      </c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E26" s="101" t="s">
        <v>110</v>
      </c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T26" s="101" t="s">
        <v>110</v>
      </c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I26" s="101" t="s">
        <v>110</v>
      </c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</row>
    <row r="27" spans="1:74" ht="15" customHeight="1" x14ac:dyDescent="0.3">
      <c r="A27" s="83" t="s">
        <v>78</v>
      </c>
      <c r="B27" s="40">
        <f>Questionnaire!C7</f>
        <v>1</v>
      </c>
      <c r="C27" s="40">
        <f>Questionnaire!D7</f>
        <v>1</v>
      </c>
      <c r="D27" s="40">
        <f>Questionnaire!E7</f>
        <v>1</v>
      </c>
      <c r="E27" s="40">
        <f>Questionnaire!F7</f>
        <v>1</v>
      </c>
      <c r="F27" s="40">
        <f>Questionnaire!G7</f>
        <v>1</v>
      </c>
      <c r="G27" s="40">
        <f>Questionnaire!H7</f>
        <v>1</v>
      </c>
      <c r="H27" s="40">
        <f>Questionnaire!I7</f>
        <v>1</v>
      </c>
      <c r="I27" s="40">
        <f>Questionnaire!J7</f>
        <v>1</v>
      </c>
      <c r="J27" s="40">
        <f>Questionnaire!K7</f>
        <v>1</v>
      </c>
      <c r="K27" s="40">
        <f>Questionnaire!L7</f>
        <v>1</v>
      </c>
      <c r="L27" s="40">
        <f>Questionnaire!M7</f>
        <v>1</v>
      </c>
      <c r="M27" s="40">
        <f>Questionnaire!N7</f>
        <v>1</v>
      </c>
      <c r="N27" s="81"/>
      <c r="P27" s="85" t="s">
        <v>78</v>
      </c>
      <c r="Q27" s="40">
        <f>Questionnaire!C19</f>
        <v>1</v>
      </c>
      <c r="R27" s="40">
        <f>Questionnaire!D19</f>
        <v>1</v>
      </c>
      <c r="S27" s="40">
        <f>Questionnaire!E19</f>
        <v>1</v>
      </c>
      <c r="T27" s="40">
        <f>Questionnaire!F19</f>
        <v>1</v>
      </c>
      <c r="U27" s="40">
        <f>Questionnaire!G19</f>
        <v>1</v>
      </c>
      <c r="V27" s="40">
        <f>Questionnaire!H19</f>
        <v>1</v>
      </c>
      <c r="W27" s="40">
        <f>Questionnaire!I19</f>
        <v>1</v>
      </c>
      <c r="X27" s="40">
        <f>Questionnaire!J19</f>
        <v>1</v>
      </c>
      <c r="Y27" s="40">
        <f>Questionnaire!K19</f>
        <v>1</v>
      </c>
      <c r="Z27" s="40">
        <f>Questionnaire!L19</f>
        <v>1</v>
      </c>
      <c r="AA27" s="40">
        <f>Questionnaire!M19</f>
        <v>1</v>
      </c>
      <c r="AB27" s="40">
        <f>Questionnaire!N19</f>
        <v>1</v>
      </c>
      <c r="AC27" s="99"/>
      <c r="AE27" s="87" t="s">
        <v>78</v>
      </c>
      <c r="AF27" s="40">
        <f>Questionnaire!C31</f>
        <v>1</v>
      </c>
      <c r="AG27" s="40">
        <f>Questionnaire!D31</f>
        <v>1</v>
      </c>
      <c r="AH27" s="40">
        <f>Questionnaire!E31</f>
        <v>1</v>
      </c>
      <c r="AI27" s="40">
        <f>Questionnaire!F31</f>
        <v>1</v>
      </c>
      <c r="AJ27" s="40">
        <f>Questionnaire!G31</f>
        <v>1</v>
      </c>
      <c r="AK27" s="40">
        <f>Questionnaire!H31</f>
        <v>1</v>
      </c>
      <c r="AL27" s="40">
        <f>Questionnaire!I31</f>
        <v>1</v>
      </c>
      <c r="AM27" s="40">
        <f>Questionnaire!J31</f>
        <v>1</v>
      </c>
      <c r="AN27" s="40">
        <f>Questionnaire!K31</f>
        <v>1</v>
      </c>
      <c r="AO27" s="40">
        <f>Questionnaire!L31</f>
        <v>1</v>
      </c>
      <c r="AP27" s="40">
        <f>Questionnaire!M31</f>
        <v>1</v>
      </c>
      <c r="AQ27" s="40">
        <f>Questionnaire!N31</f>
        <v>1</v>
      </c>
      <c r="AR27" s="90"/>
      <c r="AT27" s="96" t="s">
        <v>78</v>
      </c>
      <c r="AU27" s="72">
        <f>Questionnaire!C43</f>
        <v>1</v>
      </c>
      <c r="AV27" s="72">
        <f>Questionnaire!D43</f>
        <v>1</v>
      </c>
      <c r="AW27" s="72">
        <f>Questionnaire!E43</f>
        <v>1</v>
      </c>
      <c r="AX27" s="72">
        <f>Questionnaire!F43</f>
        <v>1</v>
      </c>
      <c r="AY27" s="72">
        <f>Questionnaire!G43</f>
        <v>1</v>
      </c>
      <c r="AZ27" s="72">
        <f>Questionnaire!H43</f>
        <v>1</v>
      </c>
      <c r="BA27" s="72">
        <f>Questionnaire!I43</f>
        <v>1</v>
      </c>
      <c r="BB27" s="72">
        <f>Questionnaire!J43</f>
        <v>1</v>
      </c>
      <c r="BC27" s="72">
        <f>Questionnaire!K43</f>
        <v>1</v>
      </c>
      <c r="BD27" s="72">
        <f>Questionnaire!L43</f>
        <v>1</v>
      </c>
      <c r="BE27" s="72">
        <f>Questionnaire!M43</f>
        <v>1</v>
      </c>
      <c r="BF27" s="72">
        <f>Questionnaire!N43</f>
        <v>1</v>
      </c>
      <c r="BG27" s="94"/>
      <c r="BI27" s="91"/>
      <c r="BJ27" s="73" t="str">
        <f>IF(EXACT('⚙ Configure'!AE51,""),"",'⚙ Configure'!AE51)</f>
        <v/>
      </c>
      <c r="BK27" s="73"/>
      <c r="BL27" s="73"/>
      <c r="BM27" s="73"/>
      <c r="BN27" s="73"/>
      <c r="BO27" s="73"/>
      <c r="BP27" s="73"/>
      <c r="BQ27" s="73"/>
      <c r="BR27" s="73"/>
      <c r="BS27" s="74"/>
      <c r="BT27" s="74"/>
      <c r="BU27" s="74"/>
      <c r="BV27" s="93"/>
    </row>
    <row r="28" spans="1:74" ht="15" customHeight="1" x14ac:dyDescent="0.3">
      <c r="A28" s="83" t="s">
        <v>111</v>
      </c>
      <c r="B28" s="13" t="str">
        <f ca="1">OFFSET(B15,ROUNDDOWN(B27,0)-1,0)</f>
        <v>L</v>
      </c>
      <c r="C28" s="13" t="str">
        <f t="shared" ref="C28:G28" ca="1" si="0">OFFSET(C15,ROUNDDOWN(C27,0)-1,0)</f>
        <v>L</v>
      </c>
      <c r="D28" s="13" t="str">
        <f t="shared" ca="1" si="0"/>
        <v>L</v>
      </c>
      <c r="E28" s="13" t="str">
        <f t="shared" ca="1" si="0"/>
        <v>L</v>
      </c>
      <c r="F28" s="13" t="str">
        <f t="shared" ca="1" si="0"/>
        <v>L</v>
      </c>
      <c r="G28" s="13" t="str">
        <f t="shared" ca="1" si="0"/>
        <v>L</v>
      </c>
      <c r="H28" s="13" t="str">
        <f t="shared" ref="H28" ca="1" si="1">OFFSET(H15,ROUNDDOWN(H27,0)-1,0)</f>
        <v>L</v>
      </c>
      <c r="I28" s="13" t="str">
        <f t="shared" ref="I28" ca="1" si="2">OFFSET(I15,ROUNDDOWN(I27,0)-1,0)</f>
        <v>L</v>
      </c>
      <c r="J28" s="13" t="str">
        <f t="shared" ref="J28" ca="1" si="3">OFFSET(J15,ROUNDDOWN(J27,0)-1,0)</f>
        <v>L</v>
      </c>
      <c r="K28" s="13" t="str">
        <f t="shared" ref="K28:L28" ca="1" si="4">OFFSET(K15,ROUNDDOWN(K27,0)-1,0)</f>
        <v>L</v>
      </c>
      <c r="L28" s="13" t="str">
        <f t="shared" ca="1" si="4"/>
        <v>L</v>
      </c>
      <c r="M28" s="13" t="str">
        <f t="shared" ref="M28" ca="1" si="5">OFFSET(M15,ROUNDDOWN(M27,0)-1,0)</f>
        <v>L</v>
      </c>
      <c r="N28" s="81"/>
      <c r="P28" s="85" t="s">
        <v>111</v>
      </c>
      <c r="Q28" s="13" t="str">
        <f t="shared" ref="Q28" ca="1" si="6">OFFSET(Q15,ROUNDDOWN(Q27,0)-1,0)</f>
        <v>M</v>
      </c>
      <c r="R28" s="13" t="str">
        <f t="shared" ref="R28" ca="1" si="7">OFFSET(R15,ROUNDDOWN(R27,0)-1,0)</f>
        <v>M</v>
      </c>
      <c r="S28" s="13" t="str">
        <f t="shared" ref="S28" ca="1" si="8">OFFSET(S15,ROUNDDOWN(S27,0)-1,0)</f>
        <v>M</v>
      </c>
      <c r="T28" s="13" t="str">
        <f t="shared" ref="T28" ca="1" si="9">OFFSET(T15,ROUNDDOWN(T27,0)-1,0)</f>
        <v>M</v>
      </c>
      <c r="U28" s="13" t="str">
        <f t="shared" ref="U28" ca="1" si="10">OFFSET(U15,ROUNDDOWN(U27,0)-1,0)</f>
        <v>L</v>
      </c>
      <c r="V28" s="13" t="str">
        <f t="shared" ref="V28" ca="1" si="11">OFFSET(V15,ROUNDDOWN(V27,0)-1,0)</f>
        <v>L</v>
      </c>
      <c r="W28" s="13" t="str">
        <f t="shared" ref="W28" ca="1" si="12">OFFSET(W15,ROUNDDOWN(W27,0)-1,0)</f>
        <v>L</v>
      </c>
      <c r="X28" s="13" t="str">
        <f t="shared" ref="X28" ca="1" si="13">OFFSET(X15,ROUNDDOWN(X27,0)-1,0)</f>
        <v>L</v>
      </c>
      <c r="Y28" s="13" t="str">
        <f t="shared" ref="Y28" ca="1" si="14">OFFSET(Y15,ROUNDDOWN(Y27,0)-1,0)</f>
        <v>L</v>
      </c>
      <c r="Z28" s="13" t="str">
        <f t="shared" ref="Z28" ca="1" si="15">OFFSET(Z15,ROUNDDOWN(Z27,0)-1,0)</f>
        <v>L</v>
      </c>
      <c r="AA28" s="13" t="str">
        <f t="shared" ref="AA28" ca="1" si="16">OFFSET(AA15,ROUNDDOWN(AA27,0)-1,0)</f>
        <v>L</v>
      </c>
      <c r="AB28" s="13" t="str">
        <f t="shared" ref="AB28" ca="1" si="17">OFFSET(AB15,ROUNDDOWN(AB27,0)-1,0)</f>
        <v>L</v>
      </c>
      <c r="AC28" s="99"/>
      <c r="AE28" s="87" t="s">
        <v>111</v>
      </c>
      <c r="AF28" s="13" t="str">
        <f t="shared" ref="AF28" ca="1" si="18">OFFSET(AF15,ROUNDDOWN(AF27,0)-1,0)</f>
        <v>L</v>
      </c>
      <c r="AG28" s="13" t="str">
        <f t="shared" ref="AG28" ca="1" si="19">OFFSET(AG15,ROUNDDOWN(AG27,0)-1,0)</f>
        <v>L</v>
      </c>
      <c r="AH28" s="13" t="str">
        <f t="shared" ref="AH28" ca="1" si="20">OFFSET(AH15,ROUNDDOWN(AH27,0)-1,0)</f>
        <v>L</v>
      </c>
      <c r="AI28" s="13" t="str">
        <f t="shared" ref="AI28" ca="1" si="21">OFFSET(AI15,ROUNDDOWN(AI27,0)-1,0)</f>
        <v>L</v>
      </c>
      <c r="AJ28" s="13" t="str">
        <f t="shared" ref="AJ28" ca="1" si="22">OFFSET(AJ15,ROUNDDOWN(AJ27,0)-1,0)</f>
        <v>L</v>
      </c>
      <c r="AK28" s="13" t="str">
        <f t="shared" ref="AK28" ca="1" si="23">OFFSET(AK15,ROUNDDOWN(AK27,0)-1,0)</f>
        <v>L</v>
      </c>
      <c r="AL28" s="13" t="str">
        <f t="shared" ref="AL28" ca="1" si="24">OFFSET(AL15,ROUNDDOWN(AL27,0)-1,0)</f>
        <v>L</v>
      </c>
      <c r="AM28" s="13" t="str">
        <f t="shared" ref="AM28" ca="1" si="25">OFFSET(AM15,ROUNDDOWN(AM27,0)-1,0)</f>
        <v>L</v>
      </c>
      <c r="AN28" s="13" t="str">
        <f t="shared" ref="AN28" ca="1" si="26">OFFSET(AN15,ROUNDDOWN(AN27,0)-1,0)</f>
        <v>L</v>
      </c>
      <c r="AO28" s="13" t="str">
        <f t="shared" ref="AO28" ca="1" si="27">OFFSET(AO15,ROUNDDOWN(AO27,0)-1,0)</f>
        <v>L</v>
      </c>
      <c r="AP28" s="13" t="str">
        <f t="shared" ref="AP28" ca="1" si="28">OFFSET(AP15,ROUNDDOWN(AP27,0)-1,0)</f>
        <v>L</v>
      </c>
      <c r="AQ28" s="13" t="str">
        <f t="shared" ref="AQ28" ca="1" si="29">OFFSET(AQ15,ROUNDDOWN(AQ27,0)-1,0)</f>
        <v>L</v>
      </c>
      <c r="AR28" s="90"/>
      <c r="AT28" s="96" t="s">
        <v>111</v>
      </c>
      <c r="AU28" s="13" t="str">
        <f t="shared" ref="AU28" ca="1" si="30">OFFSET(AU15,ROUNDDOWN(AU27,0)-1,0)</f>
        <v>L</v>
      </c>
      <c r="AV28" s="13" t="str">
        <f t="shared" ref="AV28" ca="1" si="31">OFFSET(AV15,ROUNDDOWN(AV27,0)-1,0)</f>
        <v>L</v>
      </c>
      <c r="AW28" s="13" t="str">
        <f t="shared" ref="AW28" ca="1" si="32">OFFSET(AW15,ROUNDDOWN(AW27,0)-1,0)</f>
        <v>L</v>
      </c>
      <c r="AX28" s="13" t="str">
        <f t="shared" ref="AX28" ca="1" si="33">OFFSET(AX15,ROUNDDOWN(AX27,0)-1,0)</f>
        <v>L</v>
      </c>
      <c r="AY28" s="13" t="str">
        <f t="shared" ref="AY28" ca="1" si="34">OFFSET(AY15,ROUNDDOWN(AY27,0)-1,0)</f>
        <v>L</v>
      </c>
      <c r="AZ28" s="13" t="str">
        <f t="shared" ref="AZ28" ca="1" si="35">OFFSET(AZ15,ROUNDDOWN(AZ27,0)-1,0)</f>
        <v>L</v>
      </c>
      <c r="BA28" s="13" t="str">
        <f t="shared" ref="BA28" ca="1" si="36">OFFSET(BA15,ROUNDDOWN(BA27,0)-1,0)</f>
        <v>L</v>
      </c>
      <c r="BB28" s="13" t="str">
        <f t="shared" ref="BB28" ca="1" si="37">OFFSET(BB15,ROUNDDOWN(BB27,0)-1,0)</f>
        <v>L</v>
      </c>
      <c r="BC28" s="13" t="str">
        <f t="shared" ref="BC28" ca="1" si="38">OFFSET(BC15,ROUNDDOWN(BC27,0)-1,0)</f>
        <v>L</v>
      </c>
      <c r="BD28" s="13" t="str">
        <f t="shared" ref="BD28" ca="1" si="39">OFFSET(BD15,ROUNDDOWN(BD27,0)-1,0)</f>
        <v>H</v>
      </c>
      <c r="BE28" s="13" t="str">
        <f t="shared" ref="BE28" ca="1" si="40">OFFSET(BE15,ROUNDDOWN(BE27,0)-1,0)</f>
        <v>H</v>
      </c>
      <c r="BF28" s="13" t="str">
        <f t="shared" ref="BF28" ca="1" si="41">OFFSET(BF15,ROUNDDOWN(BF27,0)-1,0)</f>
        <v>H</v>
      </c>
      <c r="BG28" s="94"/>
      <c r="BI28" s="91"/>
      <c r="BJ28" s="73" t="str">
        <f>IF(EXACT('⚙ Configure'!AE52,""),"",'⚙ Configure'!AE52)</f>
        <v/>
      </c>
      <c r="BK28" s="73"/>
      <c r="BL28" s="73"/>
      <c r="BM28" s="73"/>
      <c r="BN28" s="73"/>
      <c r="BO28" s="73"/>
      <c r="BP28" s="73"/>
      <c r="BQ28" s="73"/>
      <c r="BR28" s="73"/>
      <c r="BS28" s="74"/>
      <c r="BT28" s="74"/>
      <c r="BU28" s="74"/>
      <c r="BV28" s="93"/>
    </row>
    <row r="29" spans="1:74" ht="15" customHeight="1" x14ac:dyDescent="0.3">
      <c r="A29" s="83" t="s">
        <v>28</v>
      </c>
      <c r="B29" s="146" t="b">
        <f ca="1">EXACT(B28,"L")</f>
        <v>1</v>
      </c>
      <c r="C29" s="146" t="b">
        <f t="shared" ref="C29:M29" ca="1" si="42">EXACT(C28,"L")</f>
        <v>1</v>
      </c>
      <c r="D29" s="146" t="b">
        <f t="shared" ca="1" si="42"/>
        <v>1</v>
      </c>
      <c r="E29" s="146" t="b">
        <f t="shared" ca="1" si="42"/>
        <v>1</v>
      </c>
      <c r="F29" s="146" t="b">
        <f t="shared" ca="1" si="42"/>
        <v>1</v>
      </c>
      <c r="G29" s="146" t="b">
        <f t="shared" ca="1" si="42"/>
        <v>1</v>
      </c>
      <c r="H29" s="146" t="b">
        <f t="shared" ca="1" si="42"/>
        <v>1</v>
      </c>
      <c r="I29" s="146" t="b">
        <f t="shared" ca="1" si="42"/>
        <v>1</v>
      </c>
      <c r="J29" s="146" t="b">
        <f t="shared" ca="1" si="42"/>
        <v>1</v>
      </c>
      <c r="K29" s="146" t="b">
        <f t="shared" ca="1" si="42"/>
        <v>1</v>
      </c>
      <c r="L29" s="146" t="b">
        <f t="shared" ca="1" si="42"/>
        <v>1</v>
      </c>
      <c r="M29" s="146" t="b">
        <f t="shared" ca="1" si="42"/>
        <v>1</v>
      </c>
      <c r="N29" s="149" t="b">
        <f ca="1">OR(B29,C29,D29,E29,F29,G29,H29,I29,J29,K29,L29,M29)</f>
        <v>1</v>
      </c>
      <c r="P29" s="85" t="s">
        <v>28</v>
      </c>
      <c r="Q29" s="146" t="b">
        <f t="shared" ref="Q29" ca="1" si="43">EXACT(Q28,"L")</f>
        <v>0</v>
      </c>
      <c r="R29" s="146" t="b">
        <f t="shared" ref="R29" ca="1" si="44">EXACT(R28,"L")</f>
        <v>0</v>
      </c>
      <c r="S29" s="146" t="b">
        <f t="shared" ref="S29" ca="1" si="45">EXACT(S28,"L")</f>
        <v>0</v>
      </c>
      <c r="T29" s="146" t="b">
        <f t="shared" ref="T29" ca="1" si="46">EXACT(T28,"L")</f>
        <v>0</v>
      </c>
      <c r="U29" s="146" t="b">
        <f t="shared" ref="U29" ca="1" si="47">EXACT(U28,"L")</f>
        <v>1</v>
      </c>
      <c r="V29" s="146" t="b">
        <f t="shared" ref="V29" ca="1" si="48">EXACT(V28,"L")</f>
        <v>1</v>
      </c>
      <c r="W29" s="146" t="b">
        <f t="shared" ref="W29" ca="1" si="49">EXACT(W28,"L")</f>
        <v>1</v>
      </c>
      <c r="X29" s="146" t="b">
        <f t="shared" ref="X29" ca="1" si="50">EXACT(X28,"L")</f>
        <v>1</v>
      </c>
      <c r="Y29" s="146" t="b">
        <f t="shared" ref="Y29" ca="1" si="51">EXACT(Y28,"L")</f>
        <v>1</v>
      </c>
      <c r="Z29" s="146" t="b">
        <f t="shared" ref="Z29" ca="1" si="52">EXACT(Z28,"L")</f>
        <v>1</v>
      </c>
      <c r="AA29" s="146" t="b">
        <f t="shared" ref="AA29" ca="1" si="53">EXACT(AA28,"L")</f>
        <v>1</v>
      </c>
      <c r="AB29" s="146" t="b">
        <f t="shared" ref="AB29" ca="1" si="54">EXACT(AB28,"L")</f>
        <v>1</v>
      </c>
      <c r="AC29" s="150" t="b">
        <f ca="1">OR(Q29,R29,S29,T29,U29,V29,W29,X29,Y29,Z29,AA29,AB29)</f>
        <v>1</v>
      </c>
      <c r="AE29" s="87" t="s">
        <v>28</v>
      </c>
      <c r="AF29" s="146" t="b">
        <f t="shared" ref="AF29" ca="1" si="55">EXACT(AF28,"L")</f>
        <v>1</v>
      </c>
      <c r="AG29" s="146" t="b">
        <f t="shared" ref="AG29" ca="1" si="56">EXACT(AG28,"L")</f>
        <v>1</v>
      </c>
      <c r="AH29" s="146" t="b">
        <f t="shared" ref="AH29" ca="1" si="57">EXACT(AH28,"L")</f>
        <v>1</v>
      </c>
      <c r="AI29" s="146" t="b">
        <f t="shared" ref="AI29" ca="1" si="58">EXACT(AI28,"L")</f>
        <v>1</v>
      </c>
      <c r="AJ29" s="146" t="b">
        <f t="shared" ref="AJ29" ca="1" si="59">EXACT(AJ28,"L")</f>
        <v>1</v>
      </c>
      <c r="AK29" s="146" t="b">
        <f t="shared" ref="AK29" ca="1" si="60">EXACT(AK28,"L")</f>
        <v>1</v>
      </c>
      <c r="AL29" s="146" t="b">
        <f t="shared" ref="AL29" ca="1" si="61">EXACT(AL28,"L")</f>
        <v>1</v>
      </c>
      <c r="AM29" s="146" t="b">
        <f t="shared" ref="AM29" ca="1" si="62">EXACT(AM28,"L")</f>
        <v>1</v>
      </c>
      <c r="AN29" s="146" t="b">
        <f t="shared" ref="AN29" ca="1" si="63">EXACT(AN28,"L")</f>
        <v>1</v>
      </c>
      <c r="AO29" s="146" t="b">
        <f t="shared" ref="AO29" ca="1" si="64">EXACT(AO28,"L")</f>
        <v>1</v>
      </c>
      <c r="AP29" s="146" t="b">
        <f t="shared" ref="AP29" ca="1" si="65">EXACT(AP28,"L")</f>
        <v>1</v>
      </c>
      <c r="AQ29" s="146" t="b">
        <f t="shared" ref="AQ29" ca="1" si="66">EXACT(AQ28,"L")</f>
        <v>1</v>
      </c>
      <c r="AR29" s="151" t="b">
        <f ca="1">OR(AF29,AG29,AH29,AI29,AJ29,AK29,AL29,AM29,AN29,AO29,AP29,AQ29)</f>
        <v>1</v>
      </c>
      <c r="AT29" s="96" t="s">
        <v>28</v>
      </c>
      <c r="AU29" s="146" t="b">
        <f t="shared" ref="AU29" ca="1" si="67">EXACT(AU28,"L")</f>
        <v>1</v>
      </c>
      <c r="AV29" s="146" t="b">
        <f t="shared" ref="AV29" ca="1" si="68">EXACT(AV28,"L")</f>
        <v>1</v>
      </c>
      <c r="AW29" s="146" t="b">
        <f t="shared" ref="AW29" ca="1" si="69">EXACT(AW28,"L")</f>
        <v>1</v>
      </c>
      <c r="AX29" s="146" t="b">
        <f t="shared" ref="AX29" ca="1" si="70">EXACT(AX28,"L")</f>
        <v>1</v>
      </c>
      <c r="AY29" s="146" t="b">
        <f t="shared" ref="AY29" ca="1" si="71">EXACT(AY28,"L")</f>
        <v>1</v>
      </c>
      <c r="AZ29" s="146" t="b">
        <f t="shared" ref="AZ29" ca="1" si="72">EXACT(AZ28,"L")</f>
        <v>1</v>
      </c>
      <c r="BA29" s="146" t="b">
        <f t="shared" ref="BA29" ca="1" si="73">EXACT(BA28,"L")</f>
        <v>1</v>
      </c>
      <c r="BB29" s="146" t="b">
        <f t="shared" ref="BB29" ca="1" si="74">EXACT(BB28,"L")</f>
        <v>1</v>
      </c>
      <c r="BC29" s="146" t="b">
        <f t="shared" ref="BC29" ca="1" si="75">EXACT(BC28,"L")</f>
        <v>1</v>
      </c>
      <c r="BD29" s="146" t="b">
        <f t="shared" ref="BD29" ca="1" si="76">EXACT(BD28,"L")</f>
        <v>0</v>
      </c>
      <c r="BE29" s="146" t="b">
        <f t="shared" ref="BE29" ca="1" si="77">EXACT(BE28,"L")</f>
        <v>0</v>
      </c>
      <c r="BF29" s="146" t="b">
        <f t="shared" ref="BF29" ca="1" si="78">EXACT(BF28,"L")</f>
        <v>0</v>
      </c>
      <c r="BG29" s="152" t="b">
        <f t="shared" ref="BG29:BG32" ca="1" si="79">OR(AU29,AV29,AW29,AX29,AY29,AZ29,BA29,BB29,BC29,BD29,BE29,BF29)</f>
        <v>1</v>
      </c>
      <c r="BI29" s="91"/>
      <c r="BJ29" s="73" t="str">
        <f>IF(EXACT('⚙ Configure'!AE50,""),"",'⚙ Configure'!AE50)</f>
        <v/>
      </c>
      <c r="BK29" s="73"/>
      <c r="BL29" s="73"/>
      <c r="BM29" s="73"/>
      <c r="BN29" s="73"/>
      <c r="BO29" s="73"/>
      <c r="BP29" s="73"/>
      <c r="BQ29" s="73"/>
      <c r="BR29" s="73"/>
      <c r="BS29" s="74"/>
      <c r="BT29" s="74"/>
      <c r="BU29" s="74"/>
      <c r="BV29" s="93"/>
    </row>
    <row r="30" spans="1:74" ht="15" customHeight="1" x14ac:dyDescent="0.3">
      <c r="A30" s="83" t="s">
        <v>27</v>
      </c>
      <c r="B30" s="146" t="b">
        <f ca="1">EXACT(B28,"M")</f>
        <v>0</v>
      </c>
      <c r="C30" s="146" t="b">
        <f t="shared" ref="C30:M30" ca="1" si="80">EXACT(C28,"M")</f>
        <v>0</v>
      </c>
      <c r="D30" s="146" t="b">
        <f t="shared" ca="1" si="80"/>
        <v>0</v>
      </c>
      <c r="E30" s="146" t="b">
        <f t="shared" ca="1" si="80"/>
        <v>0</v>
      </c>
      <c r="F30" s="146" t="b">
        <f t="shared" ca="1" si="80"/>
        <v>0</v>
      </c>
      <c r="G30" s="146" t="b">
        <f t="shared" ca="1" si="80"/>
        <v>0</v>
      </c>
      <c r="H30" s="146" t="b">
        <f t="shared" ca="1" si="80"/>
        <v>0</v>
      </c>
      <c r="I30" s="146" t="b">
        <f t="shared" ca="1" si="80"/>
        <v>0</v>
      </c>
      <c r="J30" s="146" t="b">
        <f t="shared" ca="1" si="80"/>
        <v>0</v>
      </c>
      <c r="K30" s="146" t="b">
        <f t="shared" ca="1" si="80"/>
        <v>0</v>
      </c>
      <c r="L30" s="146" t="b">
        <f t="shared" ca="1" si="80"/>
        <v>0</v>
      </c>
      <c r="M30" s="146" t="b">
        <f t="shared" ca="1" si="80"/>
        <v>0</v>
      </c>
      <c r="N30" s="149" t="b">
        <f t="shared" ref="N30:N32" ca="1" si="81">OR(B30,C30,D30,E30,F30,G30,H30,I30,J30,K30,L30,M30)</f>
        <v>0</v>
      </c>
      <c r="P30" s="85" t="s">
        <v>27</v>
      </c>
      <c r="Q30" s="146" t="b">
        <f t="shared" ref="Q30:AB30" ca="1" si="82">EXACT(Q28,"M")</f>
        <v>1</v>
      </c>
      <c r="R30" s="146" t="b">
        <f t="shared" ca="1" si="82"/>
        <v>1</v>
      </c>
      <c r="S30" s="146" t="b">
        <f t="shared" ca="1" si="82"/>
        <v>1</v>
      </c>
      <c r="T30" s="146" t="b">
        <f t="shared" ca="1" si="82"/>
        <v>1</v>
      </c>
      <c r="U30" s="146" t="b">
        <f t="shared" ca="1" si="82"/>
        <v>0</v>
      </c>
      <c r="V30" s="146" t="b">
        <f t="shared" ca="1" si="82"/>
        <v>0</v>
      </c>
      <c r="W30" s="146" t="b">
        <f t="shared" ca="1" si="82"/>
        <v>0</v>
      </c>
      <c r="X30" s="146" t="b">
        <f t="shared" ca="1" si="82"/>
        <v>0</v>
      </c>
      <c r="Y30" s="146" t="b">
        <f t="shared" ca="1" si="82"/>
        <v>0</v>
      </c>
      <c r="Z30" s="146" t="b">
        <f t="shared" ca="1" si="82"/>
        <v>0</v>
      </c>
      <c r="AA30" s="146" t="b">
        <f t="shared" ca="1" si="82"/>
        <v>0</v>
      </c>
      <c r="AB30" s="146" t="b">
        <f t="shared" ca="1" si="82"/>
        <v>0</v>
      </c>
      <c r="AC30" s="150" t="b">
        <f t="shared" ref="AC30:AC32" ca="1" si="83">OR(Q30,R30,S30,T30,U30,V30,W30,X30,Y30,Z30,AA30,AB30)</f>
        <v>1</v>
      </c>
      <c r="AE30" s="87" t="s">
        <v>27</v>
      </c>
      <c r="AF30" s="146" t="b">
        <f t="shared" ref="AF30:AQ30" ca="1" si="84">EXACT(AF28,"M")</f>
        <v>0</v>
      </c>
      <c r="AG30" s="146" t="b">
        <f t="shared" ca="1" si="84"/>
        <v>0</v>
      </c>
      <c r="AH30" s="146" t="b">
        <f t="shared" ca="1" si="84"/>
        <v>0</v>
      </c>
      <c r="AI30" s="146" t="b">
        <f t="shared" ca="1" si="84"/>
        <v>0</v>
      </c>
      <c r="AJ30" s="146" t="b">
        <f t="shared" ca="1" si="84"/>
        <v>0</v>
      </c>
      <c r="AK30" s="146" t="b">
        <f t="shared" ca="1" si="84"/>
        <v>0</v>
      </c>
      <c r="AL30" s="146" t="b">
        <f t="shared" ca="1" si="84"/>
        <v>0</v>
      </c>
      <c r="AM30" s="146" t="b">
        <f t="shared" ca="1" si="84"/>
        <v>0</v>
      </c>
      <c r="AN30" s="146" t="b">
        <f t="shared" ca="1" si="84"/>
        <v>0</v>
      </c>
      <c r="AO30" s="146" t="b">
        <f t="shared" ca="1" si="84"/>
        <v>0</v>
      </c>
      <c r="AP30" s="146" t="b">
        <f t="shared" ca="1" si="84"/>
        <v>0</v>
      </c>
      <c r="AQ30" s="146" t="b">
        <f t="shared" ca="1" si="84"/>
        <v>0</v>
      </c>
      <c r="AR30" s="151" t="b">
        <f t="shared" ref="AR30:AR32" ca="1" si="85">OR(AF30,AG30,AH30,AI30,AJ30,AK30,AL30,AM30,AN30,AO30,AP30,AQ30)</f>
        <v>0</v>
      </c>
      <c r="AT30" s="96" t="s">
        <v>27</v>
      </c>
      <c r="AU30" s="146" t="b">
        <f t="shared" ref="AU30:BF30" ca="1" si="86">EXACT(AU28,"M")</f>
        <v>0</v>
      </c>
      <c r="AV30" s="146" t="b">
        <f t="shared" ca="1" si="86"/>
        <v>0</v>
      </c>
      <c r="AW30" s="146" t="b">
        <f t="shared" ca="1" si="86"/>
        <v>0</v>
      </c>
      <c r="AX30" s="146" t="b">
        <f t="shared" ca="1" si="86"/>
        <v>0</v>
      </c>
      <c r="AY30" s="146" t="b">
        <f t="shared" ca="1" si="86"/>
        <v>0</v>
      </c>
      <c r="AZ30" s="146" t="b">
        <f t="shared" ca="1" si="86"/>
        <v>0</v>
      </c>
      <c r="BA30" s="146" t="b">
        <f t="shared" ca="1" si="86"/>
        <v>0</v>
      </c>
      <c r="BB30" s="146" t="b">
        <f t="shared" ca="1" si="86"/>
        <v>0</v>
      </c>
      <c r="BC30" s="146" t="b">
        <f t="shared" ca="1" si="86"/>
        <v>0</v>
      </c>
      <c r="BD30" s="146" t="b">
        <f t="shared" ca="1" si="86"/>
        <v>0</v>
      </c>
      <c r="BE30" s="146" t="b">
        <f t="shared" ca="1" si="86"/>
        <v>0</v>
      </c>
      <c r="BF30" s="146" t="b">
        <f t="shared" ca="1" si="86"/>
        <v>0</v>
      </c>
      <c r="BG30" s="152" t="b">
        <f t="shared" ca="1" si="79"/>
        <v>0</v>
      </c>
      <c r="BI30" s="91"/>
      <c r="BJ30" s="73" t="str">
        <f>IF(EXACT('⚙ Configure'!AE51,""),"",'⚙ Configure'!AE51)</f>
        <v/>
      </c>
      <c r="BK30" s="73"/>
      <c r="BL30" s="73"/>
      <c r="BM30" s="73"/>
      <c r="BN30" s="73"/>
      <c r="BO30" s="73"/>
      <c r="BP30" s="73"/>
      <c r="BQ30" s="73"/>
      <c r="BR30" s="73"/>
      <c r="BS30" s="74"/>
      <c r="BT30" s="74"/>
      <c r="BU30" s="74"/>
      <c r="BV30" s="93"/>
    </row>
    <row r="31" spans="1:74" ht="15" customHeight="1" x14ac:dyDescent="0.3">
      <c r="A31" s="83" t="s">
        <v>26</v>
      </c>
      <c r="B31" s="146" t="b">
        <f ca="1">EXACT(B28,"H")</f>
        <v>0</v>
      </c>
      <c r="C31" s="146" t="b">
        <f t="shared" ref="C31:M31" ca="1" si="87">EXACT(C28,"H")</f>
        <v>0</v>
      </c>
      <c r="D31" s="146" t="b">
        <f t="shared" ca="1" si="87"/>
        <v>0</v>
      </c>
      <c r="E31" s="146" t="b">
        <f t="shared" ca="1" si="87"/>
        <v>0</v>
      </c>
      <c r="F31" s="146" t="b">
        <f t="shared" ca="1" si="87"/>
        <v>0</v>
      </c>
      <c r="G31" s="146" t="b">
        <f t="shared" ca="1" si="87"/>
        <v>0</v>
      </c>
      <c r="H31" s="146" t="b">
        <f t="shared" ca="1" si="87"/>
        <v>0</v>
      </c>
      <c r="I31" s="146" t="b">
        <f t="shared" ca="1" si="87"/>
        <v>0</v>
      </c>
      <c r="J31" s="146" t="b">
        <f t="shared" ca="1" si="87"/>
        <v>0</v>
      </c>
      <c r="K31" s="146" t="b">
        <f t="shared" ca="1" si="87"/>
        <v>0</v>
      </c>
      <c r="L31" s="146" t="b">
        <f t="shared" ca="1" si="87"/>
        <v>0</v>
      </c>
      <c r="M31" s="146" t="b">
        <f t="shared" ca="1" si="87"/>
        <v>0</v>
      </c>
      <c r="N31" s="149" t="b">
        <f t="shared" ca="1" si="81"/>
        <v>0</v>
      </c>
      <c r="P31" s="85" t="s">
        <v>26</v>
      </c>
      <c r="Q31" s="146" t="b">
        <f t="shared" ref="Q31:AB31" ca="1" si="88">EXACT(Q28,"H")</f>
        <v>0</v>
      </c>
      <c r="R31" s="146" t="b">
        <f t="shared" ca="1" si="88"/>
        <v>0</v>
      </c>
      <c r="S31" s="146" t="b">
        <f t="shared" ca="1" si="88"/>
        <v>0</v>
      </c>
      <c r="T31" s="146" t="b">
        <f t="shared" ca="1" si="88"/>
        <v>0</v>
      </c>
      <c r="U31" s="146" t="b">
        <f t="shared" ca="1" si="88"/>
        <v>0</v>
      </c>
      <c r="V31" s="146" t="b">
        <f t="shared" ca="1" si="88"/>
        <v>0</v>
      </c>
      <c r="W31" s="146" t="b">
        <f t="shared" ca="1" si="88"/>
        <v>0</v>
      </c>
      <c r="X31" s="146" t="b">
        <f t="shared" ca="1" si="88"/>
        <v>0</v>
      </c>
      <c r="Y31" s="146" t="b">
        <f t="shared" ca="1" si="88"/>
        <v>0</v>
      </c>
      <c r="Z31" s="146" t="b">
        <f t="shared" ca="1" si="88"/>
        <v>0</v>
      </c>
      <c r="AA31" s="146" t="b">
        <f t="shared" ca="1" si="88"/>
        <v>0</v>
      </c>
      <c r="AB31" s="146" t="b">
        <f t="shared" ca="1" si="88"/>
        <v>0</v>
      </c>
      <c r="AC31" s="150" t="b">
        <f t="shared" ca="1" si="83"/>
        <v>0</v>
      </c>
      <c r="AE31" s="87" t="s">
        <v>26</v>
      </c>
      <c r="AF31" s="146" t="b">
        <f t="shared" ref="AF31:AQ31" ca="1" si="89">EXACT(AF28,"H")</f>
        <v>0</v>
      </c>
      <c r="AG31" s="146" t="b">
        <f t="shared" ca="1" si="89"/>
        <v>0</v>
      </c>
      <c r="AH31" s="146" t="b">
        <f t="shared" ca="1" si="89"/>
        <v>0</v>
      </c>
      <c r="AI31" s="146" t="b">
        <f t="shared" ca="1" si="89"/>
        <v>0</v>
      </c>
      <c r="AJ31" s="146" t="b">
        <f t="shared" ca="1" si="89"/>
        <v>0</v>
      </c>
      <c r="AK31" s="146" t="b">
        <f t="shared" ca="1" si="89"/>
        <v>0</v>
      </c>
      <c r="AL31" s="146" t="b">
        <f t="shared" ca="1" si="89"/>
        <v>0</v>
      </c>
      <c r="AM31" s="146" t="b">
        <f t="shared" ca="1" si="89"/>
        <v>0</v>
      </c>
      <c r="AN31" s="146" t="b">
        <f t="shared" ca="1" si="89"/>
        <v>0</v>
      </c>
      <c r="AO31" s="146" t="b">
        <f t="shared" ca="1" si="89"/>
        <v>0</v>
      </c>
      <c r="AP31" s="146" t="b">
        <f t="shared" ca="1" si="89"/>
        <v>0</v>
      </c>
      <c r="AQ31" s="146" t="b">
        <f t="shared" ca="1" si="89"/>
        <v>0</v>
      </c>
      <c r="AR31" s="151" t="b">
        <f t="shared" ca="1" si="85"/>
        <v>0</v>
      </c>
      <c r="AT31" s="96" t="s">
        <v>26</v>
      </c>
      <c r="AU31" s="146" t="b">
        <f t="shared" ref="AU31:BF31" ca="1" si="90">EXACT(AU28,"H")</f>
        <v>0</v>
      </c>
      <c r="AV31" s="146" t="b">
        <f t="shared" ca="1" si="90"/>
        <v>0</v>
      </c>
      <c r="AW31" s="146" t="b">
        <f t="shared" ca="1" si="90"/>
        <v>0</v>
      </c>
      <c r="AX31" s="146" t="b">
        <f t="shared" ca="1" si="90"/>
        <v>0</v>
      </c>
      <c r="AY31" s="146" t="b">
        <f t="shared" ca="1" si="90"/>
        <v>0</v>
      </c>
      <c r="AZ31" s="146" t="b">
        <f t="shared" ca="1" si="90"/>
        <v>0</v>
      </c>
      <c r="BA31" s="146" t="b">
        <f t="shared" ca="1" si="90"/>
        <v>0</v>
      </c>
      <c r="BB31" s="146" t="b">
        <f t="shared" ca="1" si="90"/>
        <v>0</v>
      </c>
      <c r="BC31" s="146" t="b">
        <f t="shared" ca="1" si="90"/>
        <v>0</v>
      </c>
      <c r="BD31" s="146" t="b">
        <f t="shared" ca="1" si="90"/>
        <v>1</v>
      </c>
      <c r="BE31" s="146" t="b">
        <f t="shared" ca="1" si="90"/>
        <v>1</v>
      </c>
      <c r="BF31" s="146" t="b">
        <f t="shared" ca="1" si="90"/>
        <v>1</v>
      </c>
      <c r="BG31" s="152" t="b">
        <f t="shared" ca="1" si="79"/>
        <v>1</v>
      </c>
      <c r="BI31" s="91"/>
      <c r="BJ31" s="73" t="str">
        <f>IF(EXACT('⚙ Configure'!AE52,""),"",'⚙ Configure'!AE52)</f>
        <v/>
      </c>
      <c r="BK31" s="73"/>
      <c r="BL31" s="73"/>
      <c r="BM31" s="73"/>
      <c r="BN31" s="73"/>
      <c r="BO31" s="73"/>
      <c r="BP31" s="73"/>
      <c r="BQ31" s="73"/>
      <c r="BR31" s="73"/>
      <c r="BS31" s="74"/>
      <c r="BT31" s="74"/>
      <c r="BU31" s="74"/>
      <c r="BV31" s="93"/>
    </row>
    <row r="32" spans="1:74" ht="15" customHeight="1" x14ac:dyDescent="0.3">
      <c r="A32" s="83" t="s">
        <v>25</v>
      </c>
      <c r="B32" s="146" t="b">
        <f ca="1">EXACT(B28,"VH")</f>
        <v>0</v>
      </c>
      <c r="C32" s="146" t="b">
        <f t="shared" ref="C32:M32" ca="1" si="91">EXACT(C28,"VH")</f>
        <v>0</v>
      </c>
      <c r="D32" s="146" t="b">
        <f t="shared" ca="1" si="91"/>
        <v>0</v>
      </c>
      <c r="E32" s="146" t="b">
        <f t="shared" ca="1" si="91"/>
        <v>0</v>
      </c>
      <c r="F32" s="146" t="b">
        <f t="shared" ca="1" si="91"/>
        <v>0</v>
      </c>
      <c r="G32" s="146" t="b">
        <f t="shared" ca="1" si="91"/>
        <v>0</v>
      </c>
      <c r="H32" s="146" t="b">
        <f t="shared" ca="1" si="91"/>
        <v>0</v>
      </c>
      <c r="I32" s="146" t="b">
        <f t="shared" ca="1" si="91"/>
        <v>0</v>
      </c>
      <c r="J32" s="146" t="b">
        <f t="shared" ca="1" si="91"/>
        <v>0</v>
      </c>
      <c r="K32" s="146" t="b">
        <f t="shared" ca="1" si="91"/>
        <v>0</v>
      </c>
      <c r="L32" s="146" t="b">
        <f t="shared" ca="1" si="91"/>
        <v>0</v>
      </c>
      <c r="M32" s="146" t="b">
        <f t="shared" ca="1" si="91"/>
        <v>0</v>
      </c>
      <c r="N32" s="149" t="b">
        <f t="shared" ca="1" si="81"/>
        <v>0</v>
      </c>
      <c r="P32" s="85" t="s">
        <v>25</v>
      </c>
      <c r="Q32" s="146" t="b">
        <f t="shared" ref="Q32:AB32" ca="1" si="92">EXACT(Q28,"VH")</f>
        <v>0</v>
      </c>
      <c r="R32" s="146" t="b">
        <f t="shared" ca="1" si="92"/>
        <v>0</v>
      </c>
      <c r="S32" s="146" t="b">
        <f t="shared" ca="1" si="92"/>
        <v>0</v>
      </c>
      <c r="T32" s="146" t="b">
        <f t="shared" ca="1" si="92"/>
        <v>0</v>
      </c>
      <c r="U32" s="146" t="b">
        <f t="shared" ca="1" si="92"/>
        <v>0</v>
      </c>
      <c r="V32" s="146" t="b">
        <f t="shared" ca="1" si="92"/>
        <v>0</v>
      </c>
      <c r="W32" s="146" t="b">
        <f t="shared" ca="1" si="92"/>
        <v>0</v>
      </c>
      <c r="X32" s="146" t="b">
        <f t="shared" ca="1" si="92"/>
        <v>0</v>
      </c>
      <c r="Y32" s="146" t="b">
        <f t="shared" ca="1" si="92"/>
        <v>0</v>
      </c>
      <c r="Z32" s="146" t="b">
        <f t="shared" ca="1" si="92"/>
        <v>0</v>
      </c>
      <c r="AA32" s="146" t="b">
        <f t="shared" ca="1" si="92"/>
        <v>0</v>
      </c>
      <c r="AB32" s="146" t="b">
        <f t="shared" ca="1" si="92"/>
        <v>0</v>
      </c>
      <c r="AC32" s="150" t="b">
        <f t="shared" ca="1" si="83"/>
        <v>0</v>
      </c>
      <c r="AE32" s="87" t="s">
        <v>25</v>
      </c>
      <c r="AF32" s="146" t="b">
        <f t="shared" ref="AF32:AQ32" ca="1" si="93">EXACT(AF28,"VH")</f>
        <v>0</v>
      </c>
      <c r="AG32" s="146" t="b">
        <f t="shared" ca="1" si="93"/>
        <v>0</v>
      </c>
      <c r="AH32" s="146" t="b">
        <f t="shared" ca="1" si="93"/>
        <v>0</v>
      </c>
      <c r="AI32" s="146" t="b">
        <f t="shared" ca="1" si="93"/>
        <v>0</v>
      </c>
      <c r="AJ32" s="146" t="b">
        <f t="shared" ca="1" si="93"/>
        <v>0</v>
      </c>
      <c r="AK32" s="146" t="b">
        <f t="shared" ca="1" si="93"/>
        <v>0</v>
      </c>
      <c r="AL32" s="146" t="b">
        <f t="shared" ca="1" si="93"/>
        <v>0</v>
      </c>
      <c r="AM32" s="146" t="b">
        <f t="shared" ca="1" si="93"/>
        <v>0</v>
      </c>
      <c r="AN32" s="146" t="b">
        <f t="shared" ca="1" si="93"/>
        <v>0</v>
      </c>
      <c r="AO32" s="146" t="b">
        <f t="shared" ca="1" si="93"/>
        <v>0</v>
      </c>
      <c r="AP32" s="146" t="b">
        <f t="shared" ca="1" si="93"/>
        <v>0</v>
      </c>
      <c r="AQ32" s="146" t="b">
        <f t="shared" ca="1" si="93"/>
        <v>0</v>
      </c>
      <c r="AR32" s="151" t="b">
        <f t="shared" ca="1" si="85"/>
        <v>0</v>
      </c>
      <c r="AT32" s="96" t="s">
        <v>25</v>
      </c>
      <c r="AU32" s="146" t="b">
        <f t="shared" ref="AU32:BF32" ca="1" si="94">EXACT(AU28,"VH")</f>
        <v>0</v>
      </c>
      <c r="AV32" s="146" t="b">
        <f t="shared" ca="1" si="94"/>
        <v>0</v>
      </c>
      <c r="AW32" s="146" t="b">
        <f t="shared" ca="1" si="94"/>
        <v>0</v>
      </c>
      <c r="AX32" s="146" t="b">
        <f t="shared" ca="1" si="94"/>
        <v>0</v>
      </c>
      <c r="AY32" s="146" t="b">
        <f t="shared" ca="1" si="94"/>
        <v>0</v>
      </c>
      <c r="AZ32" s="146" t="b">
        <f t="shared" ca="1" si="94"/>
        <v>0</v>
      </c>
      <c r="BA32" s="146" t="b">
        <f t="shared" ca="1" si="94"/>
        <v>0</v>
      </c>
      <c r="BB32" s="146" t="b">
        <f t="shared" ca="1" si="94"/>
        <v>0</v>
      </c>
      <c r="BC32" s="146" t="b">
        <f t="shared" ca="1" si="94"/>
        <v>0</v>
      </c>
      <c r="BD32" s="146" t="b">
        <f t="shared" ca="1" si="94"/>
        <v>0</v>
      </c>
      <c r="BE32" s="146" t="b">
        <f t="shared" ca="1" si="94"/>
        <v>0</v>
      </c>
      <c r="BF32" s="146" t="b">
        <f t="shared" ca="1" si="94"/>
        <v>0</v>
      </c>
      <c r="BG32" s="152" t="b">
        <f t="shared" ca="1" si="79"/>
        <v>0</v>
      </c>
      <c r="BI32" s="91"/>
      <c r="BJ32" s="73" t="str">
        <f>IF(EXACT('⚙ Configure'!AE53,""),"",'⚙ Configure'!AE53)</f>
        <v/>
      </c>
      <c r="BK32" s="73"/>
      <c r="BL32" s="73"/>
      <c r="BM32" s="73"/>
      <c r="BN32" s="73"/>
      <c r="BO32" s="73"/>
      <c r="BP32" s="73"/>
      <c r="BQ32" s="73"/>
      <c r="BR32" s="73"/>
      <c r="BS32" s="74"/>
      <c r="BT32" s="74"/>
      <c r="BU32" s="74"/>
      <c r="BV32" s="93"/>
    </row>
    <row r="33" spans="1:74" ht="15" customHeight="1" x14ac:dyDescent="0.3">
      <c r="A33" s="83" t="s">
        <v>136</v>
      </c>
      <c r="B33" s="146" t="b">
        <f ca="1">OR(B29,B30)</f>
        <v>1</v>
      </c>
      <c r="C33" s="146" t="b">
        <f t="shared" ref="C33:M33" ca="1" si="95">OR(C29,C30)</f>
        <v>1</v>
      </c>
      <c r="D33" s="146" t="b">
        <f t="shared" ca="1" si="95"/>
        <v>1</v>
      </c>
      <c r="E33" s="146" t="b">
        <f t="shared" ca="1" si="95"/>
        <v>1</v>
      </c>
      <c r="F33" s="146" t="b">
        <f t="shared" ca="1" si="95"/>
        <v>1</v>
      </c>
      <c r="G33" s="146" t="b">
        <f t="shared" ca="1" si="95"/>
        <v>1</v>
      </c>
      <c r="H33" s="146" t="b">
        <f t="shared" ca="1" si="95"/>
        <v>1</v>
      </c>
      <c r="I33" s="146" t="b">
        <f t="shared" ca="1" si="95"/>
        <v>1</v>
      </c>
      <c r="J33" s="146" t="b">
        <f t="shared" ca="1" si="95"/>
        <v>1</v>
      </c>
      <c r="K33" s="146" t="b">
        <f t="shared" ca="1" si="95"/>
        <v>1</v>
      </c>
      <c r="L33" s="146" t="b">
        <f t="shared" ca="1" si="95"/>
        <v>1</v>
      </c>
      <c r="M33" s="146" t="b">
        <f t="shared" ca="1" si="95"/>
        <v>1</v>
      </c>
      <c r="N33" s="81"/>
      <c r="P33" s="85" t="s">
        <v>136</v>
      </c>
      <c r="Q33" s="146" t="b">
        <f t="shared" ref="Q33:AB33" ca="1" si="96">OR(Q29,Q30)</f>
        <v>1</v>
      </c>
      <c r="R33" s="146" t="b">
        <f t="shared" ca="1" si="96"/>
        <v>1</v>
      </c>
      <c r="S33" s="146" t="b">
        <f t="shared" ca="1" si="96"/>
        <v>1</v>
      </c>
      <c r="T33" s="146" t="b">
        <f t="shared" ca="1" si="96"/>
        <v>1</v>
      </c>
      <c r="U33" s="146" t="b">
        <f t="shared" ca="1" si="96"/>
        <v>1</v>
      </c>
      <c r="V33" s="146" t="b">
        <f t="shared" ca="1" si="96"/>
        <v>1</v>
      </c>
      <c r="W33" s="146" t="b">
        <f t="shared" ca="1" si="96"/>
        <v>1</v>
      </c>
      <c r="X33" s="146" t="b">
        <f t="shared" ca="1" si="96"/>
        <v>1</v>
      </c>
      <c r="Y33" s="146" t="b">
        <f t="shared" ca="1" si="96"/>
        <v>1</v>
      </c>
      <c r="Z33" s="146" t="b">
        <f t="shared" ca="1" si="96"/>
        <v>1</v>
      </c>
      <c r="AA33" s="146" t="b">
        <f t="shared" ca="1" si="96"/>
        <v>1</v>
      </c>
      <c r="AB33" s="146" t="b">
        <f t="shared" ca="1" si="96"/>
        <v>1</v>
      </c>
      <c r="AC33" s="99"/>
      <c r="AE33" s="87" t="s">
        <v>136</v>
      </c>
      <c r="AF33" s="146" t="b">
        <f t="shared" ref="AF33:AQ33" ca="1" si="97">OR(AF29,AF30)</f>
        <v>1</v>
      </c>
      <c r="AG33" s="146" t="b">
        <f t="shared" ca="1" si="97"/>
        <v>1</v>
      </c>
      <c r="AH33" s="146" t="b">
        <f t="shared" ca="1" si="97"/>
        <v>1</v>
      </c>
      <c r="AI33" s="146" t="b">
        <f t="shared" ca="1" si="97"/>
        <v>1</v>
      </c>
      <c r="AJ33" s="146" t="b">
        <f t="shared" ca="1" si="97"/>
        <v>1</v>
      </c>
      <c r="AK33" s="146" t="b">
        <f t="shared" ca="1" si="97"/>
        <v>1</v>
      </c>
      <c r="AL33" s="146" t="b">
        <f t="shared" ca="1" si="97"/>
        <v>1</v>
      </c>
      <c r="AM33" s="146" t="b">
        <f t="shared" ca="1" si="97"/>
        <v>1</v>
      </c>
      <c r="AN33" s="146" t="b">
        <f t="shared" ca="1" si="97"/>
        <v>1</v>
      </c>
      <c r="AO33" s="146" t="b">
        <f t="shared" ca="1" si="97"/>
        <v>1</v>
      </c>
      <c r="AP33" s="146" t="b">
        <f t="shared" ca="1" si="97"/>
        <v>1</v>
      </c>
      <c r="AQ33" s="146" t="b">
        <f t="shared" ca="1" si="97"/>
        <v>1</v>
      </c>
      <c r="AR33" s="90"/>
      <c r="AT33" s="96" t="s">
        <v>136</v>
      </c>
      <c r="AU33" s="146" t="b">
        <f t="shared" ref="AU33:BF33" ca="1" si="98">OR(AU29,AU30)</f>
        <v>1</v>
      </c>
      <c r="AV33" s="146" t="b">
        <f t="shared" ca="1" si="98"/>
        <v>1</v>
      </c>
      <c r="AW33" s="146" t="b">
        <f t="shared" ca="1" si="98"/>
        <v>1</v>
      </c>
      <c r="AX33" s="146" t="b">
        <f t="shared" ca="1" si="98"/>
        <v>1</v>
      </c>
      <c r="AY33" s="146" t="b">
        <f t="shared" ca="1" si="98"/>
        <v>1</v>
      </c>
      <c r="AZ33" s="146" t="b">
        <f t="shared" ca="1" si="98"/>
        <v>1</v>
      </c>
      <c r="BA33" s="146" t="b">
        <f t="shared" ca="1" si="98"/>
        <v>1</v>
      </c>
      <c r="BB33" s="146" t="b">
        <f t="shared" ca="1" si="98"/>
        <v>1</v>
      </c>
      <c r="BC33" s="146" t="b">
        <f t="shared" ca="1" si="98"/>
        <v>1</v>
      </c>
      <c r="BD33" s="146" t="b">
        <f t="shared" ca="1" si="98"/>
        <v>0</v>
      </c>
      <c r="BE33" s="146" t="b">
        <f t="shared" ca="1" si="98"/>
        <v>0</v>
      </c>
      <c r="BF33" s="146" t="b">
        <f t="shared" ca="1" si="98"/>
        <v>0</v>
      </c>
      <c r="BG33" s="94"/>
      <c r="BI33" s="91" t="s">
        <v>136</v>
      </c>
      <c r="BJ33" s="147" t="b">
        <f ca="1">AND(B33,Q33,AF33,AU33)</f>
        <v>1</v>
      </c>
      <c r="BK33" s="147" t="b">
        <f t="shared" ref="BK33:BU33" ca="1" si="99">AND(C33,R33,AG33,AV33)</f>
        <v>1</v>
      </c>
      <c r="BL33" s="147" t="b">
        <f t="shared" ca="1" si="99"/>
        <v>1</v>
      </c>
      <c r="BM33" s="147" t="b">
        <f t="shared" ca="1" si="99"/>
        <v>1</v>
      </c>
      <c r="BN33" s="147" t="b">
        <f t="shared" ca="1" si="99"/>
        <v>1</v>
      </c>
      <c r="BO33" s="147" t="b">
        <f t="shared" ca="1" si="99"/>
        <v>1</v>
      </c>
      <c r="BP33" s="147" t="b">
        <f t="shared" ca="1" si="99"/>
        <v>1</v>
      </c>
      <c r="BQ33" s="147" t="b">
        <f t="shared" ca="1" si="99"/>
        <v>1</v>
      </c>
      <c r="BR33" s="147" t="b">
        <f t="shared" ca="1" si="99"/>
        <v>1</v>
      </c>
      <c r="BS33" s="147" t="b">
        <f t="shared" ca="1" si="99"/>
        <v>0</v>
      </c>
      <c r="BT33" s="147" t="b">
        <f t="shared" ca="1" si="99"/>
        <v>0</v>
      </c>
      <c r="BU33" s="147" t="b">
        <f t="shared" ca="1" si="99"/>
        <v>0</v>
      </c>
      <c r="BV33" s="93"/>
    </row>
    <row r="34" spans="1:74" ht="15" customHeight="1" x14ac:dyDescent="0.3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10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89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8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80"/>
    </row>
    <row r="35" spans="1:74" s="103" customFormat="1" ht="15" customHeight="1" x14ac:dyDescent="0.35">
      <c r="A35" s="101" t="s">
        <v>115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P35" s="101" t="s">
        <v>115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E35" s="101" t="s">
        <v>115</v>
      </c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T35" s="101" t="s">
        <v>115</v>
      </c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I35" s="101" t="s">
        <v>115</v>
      </c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</row>
    <row r="36" spans="1:74" ht="15" customHeight="1" x14ac:dyDescent="0.3">
      <c r="A36" s="83" t="s">
        <v>112</v>
      </c>
      <c r="B36" s="134">
        <f>(COUNTIF(B15:B24,"VH")*$AM$45)+(COUNTIF(B15:B24,"H")*$AM$44)+(COUNTIF(B15:B24,"M")*$AM$43)+(COUNTIF(B15:B24,"L")*$AM$42)</f>
        <v>5022</v>
      </c>
      <c r="C36" s="134">
        <f t="shared" ref="C36:M36" si="100">(COUNTIF(C15:C24,"VH")*$AM$45)+(COUNTIF(C15:C24,"H")*$AM$44)+(COUNTIF(C15:C24,"M")*$AM$43)+(COUNTIF(C15:C24,"L")*$AM$42)</f>
        <v>4532</v>
      </c>
      <c r="D36" s="134">
        <f t="shared" si="100"/>
        <v>4032</v>
      </c>
      <c r="E36" s="134">
        <f t="shared" si="100"/>
        <v>4023</v>
      </c>
      <c r="F36" s="134">
        <f t="shared" si="100"/>
        <v>3033</v>
      </c>
      <c r="G36" s="134">
        <f t="shared" si="100"/>
        <v>3033</v>
      </c>
      <c r="H36" s="134">
        <f t="shared" si="100"/>
        <v>2524</v>
      </c>
      <c r="I36" s="134">
        <f t="shared" si="100"/>
        <v>2034</v>
      </c>
      <c r="J36" s="134">
        <f t="shared" si="100"/>
        <v>1534</v>
      </c>
      <c r="K36" s="134">
        <f t="shared" si="100"/>
        <v>1525</v>
      </c>
      <c r="L36" s="134">
        <f t="shared" si="100"/>
        <v>1035</v>
      </c>
      <c r="M36" s="134">
        <f t="shared" si="100"/>
        <v>1035</v>
      </c>
      <c r="N36" s="142">
        <f>SUM(B36:M36)</f>
        <v>33362</v>
      </c>
      <c r="P36" s="85" t="s">
        <v>112</v>
      </c>
      <c r="Q36" s="134">
        <f>(COUNTIF('⚙ Configure'!C17:C26,"VH")*$AM$45)+(COUNTIF('⚙ Configure'!C17:C26,"H")*$AM$44)+(COUNTIF('⚙ Configure'!C17:C26,"M")*$AM$43)+(COUNTIF('⚙ Configure'!C17:C26,"L")*$AM$42)</f>
        <v>8010</v>
      </c>
      <c r="R36" s="134">
        <f>(COUNTIF('⚙ Configure'!D17:D26,"VH")*$AM$45)+(COUNTIF('⚙ Configure'!D17:D26,"H")*$AM$44)+(COUNTIF('⚙ Configure'!D17:D26,"M")*$AM$43)+(COUNTIF('⚙ Configure'!D17:D26,"L")*$AM$42)</f>
        <v>8010</v>
      </c>
      <c r="S36" s="134">
        <f>(COUNTIF('⚙ Configure'!E17:E26,"VH")*$AM$45)+(COUNTIF('⚙ Configure'!E17:E26,"H")*$AM$44)+(COUNTIF('⚙ Configure'!E17:E26,"M")*$AM$43)+(COUNTIF('⚙ Configure'!E17:E26,"L")*$AM$42)</f>
        <v>7020</v>
      </c>
      <c r="T36" s="134">
        <f>(COUNTIF('⚙ Configure'!F17:F26,"VH")*$AM$45)+(COUNTIF('⚙ Configure'!F17:F26,"H")*$AM$44)+(COUNTIF('⚙ Configure'!F17:F26,"M")*$AM$43)+(COUNTIF('⚙ Configure'!F17:F26,"L")*$AM$42)</f>
        <v>7020</v>
      </c>
      <c r="U36" s="134">
        <f>(COUNTIF('⚙ Configure'!G17:G26,"VH")*$AM$45)+(COUNTIF('⚙ Configure'!G17:G26,"H")*$AM$44)+(COUNTIF('⚙ Configure'!G17:G26,"M")*$AM$43)+(COUNTIF('⚙ Configure'!G17:G26,"L")*$AM$42)</f>
        <v>6021</v>
      </c>
      <c r="V36" s="134">
        <f>(COUNTIF('⚙ Configure'!H17:H26,"VH")*$AM$45)+(COUNTIF('⚙ Configure'!H17:H26,"H")*$AM$44)+(COUNTIF('⚙ Configure'!H17:H26,"M")*$AM$43)+(COUNTIF('⚙ Configure'!H17:H26,"L")*$AM$42)</f>
        <v>5031</v>
      </c>
      <c r="W36" s="134">
        <f>(COUNTIF('⚙ Configure'!I17:I26,"VH")*$AM$45)+(COUNTIF('⚙ Configure'!I17:I26,"H")*$AM$44)+(COUNTIF('⚙ Configure'!I17:I26,"M")*$AM$43)+(COUNTIF('⚙ Configure'!I17:I26,"L")*$AM$42)</f>
        <v>3532</v>
      </c>
      <c r="X36" s="134">
        <f>(COUNTIF('⚙ Configure'!J17:J26,"VH")*$AM$45)+(COUNTIF('⚙ Configure'!J17:J26,"H")*$AM$44)+(COUNTIF('⚙ Configure'!J17:J26,"M")*$AM$43)+(COUNTIF('⚙ Configure'!J17:J26,"L")*$AM$42)</f>
        <v>2042</v>
      </c>
      <c r="Y36" s="134">
        <f>(COUNTIF('⚙ Configure'!K17:K26,"VH")*$AM$45)+(COUNTIF('⚙ Configure'!K17:K26,"H")*$AM$44)+(COUNTIF('⚙ Configure'!K17:K26,"M")*$AM$43)+(COUNTIF('⚙ Configure'!K17:K26,"L")*$AM$42)</f>
        <v>1053</v>
      </c>
      <c r="Z36" s="134">
        <f>(COUNTIF('⚙ Configure'!L17:L26,"VH")*$AM$45)+(COUNTIF('⚙ Configure'!L17:L26,"H")*$AM$44)+(COUNTIF('⚙ Configure'!L17:L26,"M")*$AM$43)+(COUNTIF('⚙ Configure'!L17:L26,"L")*$AM$42)</f>
        <v>55</v>
      </c>
      <c r="AA36" s="134">
        <f>(COUNTIF('⚙ Configure'!M17:M26,"VH")*$AM$45)+(COUNTIF('⚙ Configure'!M17:M26,"H")*$AM$44)+(COUNTIF('⚙ Configure'!M17:M26,"M")*$AM$43)+(COUNTIF('⚙ Configure'!M17:M26,"L")*$AM$42)</f>
        <v>37</v>
      </c>
      <c r="AB36" s="134">
        <f>(COUNTIF('⚙ Configure'!N17:N26,"VH")*$AM$45)+(COUNTIF('⚙ Configure'!N17:N26,"H")*$AM$44)+(COUNTIF('⚙ Configure'!N17:N26,"M")*$AM$43)+(COUNTIF('⚙ Configure'!N17:N26,"L")*$AM$42)</f>
        <v>10</v>
      </c>
      <c r="AC36" s="143">
        <f>SUM(Q36:AB36)</f>
        <v>47841</v>
      </c>
      <c r="AE36" s="87" t="s">
        <v>112</v>
      </c>
      <c r="AF36" s="134">
        <f>(COUNTIF('⚙ Configure'!R4:R13,"VH")*$AM$45)+(COUNTIF('⚙ Configure'!R4:R13,"H")*$AM$44)+(COUNTIF('⚙ Configure'!R4:R13,"M")*$AM$43)+(COUNTIF('⚙ Configure'!R4:R13,"L")*$AM$42)</f>
        <v>3532</v>
      </c>
      <c r="AG36" s="134">
        <f>(COUNTIF('⚙ Configure'!S4:S13,"VH")*$AM$45)+(COUNTIF('⚙ Configure'!S4:S13,"H")*$AM$44)+(COUNTIF('⚙ Configure'!S4:S13,"M")*$AM$43)+(COUNTIF('⚙ Configure'!S4:S13,"L")*$AM$42)</f>
        <v>3532</v>
      </c>
      <c r="AH36" s="134">
        <f>(COUNTIF('⚙ Configure'!T4:T13,"VH")*$AM$45)+(COUNTIF('⚙ Configure'!T4:T13,"H")*$AM$44)+(COUNTIF('⚙ Configure'!T4:T13,"M")*$AM$43)+(COUNTIF('⚙ Configure'!T4:T13,"L")*$AM$42)</f>
        <v>3532</v>
      </c>
      <c r="AI36" s="134">
        <f>(COUNTIF('⚙ Configure'!U4:U13,"VH")*$AM$45)+(COUNTIF('⚙ Configure'!U4:U13,"H")*$AM$44)+(COUNTIF('⚙ Configure'!U4:U13,"M")*$AM$43)+(COUNTIF('⚙ Configure'!U4:U13,"L")*$AM$42)</f>
        <v>3532</v>
      </c>
      <c r="AJ36" s="134">
        <f>(COUNTIF('⚙ Configure'!V4:V13,"VH")*$AM$45)+(COUNTIF('⚙ Configure'!V4:V13,"H")*$AM$44)+(COUNTIF('⚙ Configure'!V4:V13,"M")*$AM$43)+(COUNTIF('⚙ Configure'!V4:V13,"L")*$AM$42)</f>
        <v>3532</v>
      </c>
      <c r="AK36" s="134">
        <f>(COUNTIF('⚙ Configure'!W4:W13,"VH")*$AM$45)+(COUNTIF('⚙ Configure'!W4:W13,"H")*$AM$44)+(COUNTIF('⚙ Configure'!W4:W13,"M")*$AM$43)+(COUNTIF('⚙ Configure'!W4:W13,"L")*$AM$42)</f>
        <v>3532</v>
      </c>
      <c r="AL36" s="134">
        <f>(COUNTIF('⚙ Configure'!X4:X13,"VH")*$AM$45)+(COUNTIF('⚙ Configure'!X4:X13,"H")*$AM$44)+(COUNTIF('⚙ Configure'!X4:X13,"M")*$AM$43)+(COUNTIF('⚙ Configure'!X4:X13,"L")*$AM$42)</f>
        <v>3532</v>
      </c>
      <c r="AM36" s="134">
        <f>(COUNTIF('⚙ Configure'!Y4:Y13,"VH")*$AM$45)+(COUNTIF('⚙ Configure'!Y4:Y13,"H")*$AM$44)+(COUNTIF('⚙ Configure'!Y4:Y13,"M")*$AM$43)+(COUNTIF('⚙ Configure'!Y4:Y13,"L")*$AM$42)</f>
        <v>3532</v>
      </c>
      <c r="AN36" s="134">
        <f>(COUNTIF('⚙ Configure'!Z4:Z13,"VH")*$AM$45)+(COUNTIF('⚙ Configure'!Z4:Z13,"H")*$AM$44)+(COUNTIF('⚙ Configure'!Z4:Z13,"M")*$AM$43)+(COUNTIF('⚙ Configure'!Z4:Z13,"L")*$AM$42)</f>
        <v>3532</v>
      </c>
      <c r="AO36" s="134">
        <f>(COUNTIF('⚙ Configure'!AA4:AA13,"VH")*$AM$45)+(COUNTIF('⚙ Configure'!AA4:AA13,"H")*$AM$44)+(COUNTIF('⚙ Configure'!AA4:AA13,"M")*$AM$43)+(COUNTIF('⚙ Configure'!AA4:AA13,"L")*$AM$42)</f>
        <v>3532</v>
      </c>
      <c r="AP36" s="134">
        <f>(COUNTIF('⚙ Configure'!AB4:AB13,"VH")*$AM$45)+(COUNTIF('⚙ Configure'!AB4:AB13,"H")*$AM$44)+(COUNTIF('⚙ Configure'!AB4:AB13,"M")*$AM$43)+(COUNTIF('⚙ Configure'!AB4:AB13,"L")*$AM$42)</f>
        <v>3532</v>
      </c>
      <c r="AQ36" s="134">
        <f>(COUNTIF('⚙ Configure'!AC4:AC13,"VH")*$AM$45)+(COUNTIF('⚙ Configure'!AC4:AC13,"H")*$AM$44)+(COUNTIF('⚙ Configure'!AC4:AC13,"M")*$AM$43)+(COUNTIF('⚙ Configure'!AC4:AC13,"L")*$AM$42)</f>
        <v>3532</v>
      </c>
      <c r="AR36" s="144">
        <f>SUM(AF36:AQ36)</f>
        <v>42384</v>
      </c>
      <c r="AT36" s="96" t="s">
        <v>112</v>
      </c>
      <c r="AU36" s="134">
        <f>(COUNTIF('⚙ Configure'!R17:R26,"VH")*$AM$45)+(COUNTIF('⚙ Configure'!R17:R26,"H")*$AM$44)+(COUNTIF('⚙ Configure'!R17:R26,"M")*$AM$43)+(COUNTIF('⚙ Configure'!R17:R26,"L")*$AM$42)</f>
        <v>2515</v>
      </c>
      <c r="AV36" s="134">
        <f>(COUNTIF('⚙ Configure'!S17:S26,"VH")*$AM$45)+(COUNTIF('⚙ Configure'!S17:S26,"H")*$AM$44)+(COUNTIF('⚙ Configure'!S17:S26,"M")*$AM$43)+(COUNTIF('⚙ Configure'!S17:S26,"L")*$AM$42)</f>
        <v>2515</v>
      </c>
      <c r="AW36" s="134">
        <f>(COUNTIF('⚙ Configure'!T17:T26,"VH")*$AM$45)+(COUNTIF('⚙ Configure'!T17:T26,"H")*$AM$44)+(COUNTIF('⚙ Configure'!T17:T26,"M")*$AM$43)+(COUNTIF('⚙ Configure'!T17:T26,"L")*$AM$42)</f>
        <v>2515</v>
      </c>
      <c r="AX36" s="134">
        <f>(COUNTIF('⚙ Configure'!U17:U26,"VH")*$AM$45)+(COUNTIF('⚙ Configure'!U17:U26,"H")*$AM$44)+(COUNTIF('⚙ Configure'!U17:U26,"M")*$AM$43)+(COUNTIF('⚙ Configure'!U17:U26,"L")*$AM$42)</f>
        <v>3523</v>
      </c>
      <c r="AY36" s="134">
        <f>(COUNTIF('⚙ Configure'!V17:V26,"VH")*$AM$45)+(COUNTIF('⚙ Configure'!V17:V26,"H")*$AM$44)+(COUNTIF('⚙ Configure'!V17:V26,"M")*$AM$43)+(COUNTIF('⚙ Configure'!V17:V26,"L")*$AM$42)</f>
        <v>3523</v>
      </c>
      <c r="AZ36" s="134">
        <f>(COUNTIF('⚙ Configure'!W17:W26,"VH")*$AM$45)+(COUNTIF('⚙ Configure'!W17:W26,"H")*$AM$44)+(COUNTIF('⚙ Configure'!W17:W26,"M")*$AM$43)+(COUNTIF('⚙ Configure'!W17:W26,"L")*$AM$42)</f>
        <v>3523</v>
      </c>
      <c r="BA36" s="134">
        <f>(COUNTIF('⚙ Configure'!X17:X26,"VH")*$AM$45)+(COUNTIF('⚙ Configure'!X17:X26,"H")*$AM$44)+(COUNTIF('⚙ Configure'!X17:X26,"M")*$AM$43)+(COUNTIF('⚙ Configure'!X17:X26,"L")*$AM$42)</f>
        <v>7011</v>
      </c>
      <c r="BB36" s="134">
        <f>(COUNTIF('⚙ Configure'!Y17:Y26,"VH")*$AM$45)+(COUNTIF('⚙ Configure'!Y17:Y26,"H")*$AM$44)+(COUNTIF('⚙ Configure'!Y17:Y26,"M")*$AM$43)+(COUNTIF('⚙ Configure'!Y17:Y26,"L")*$AM$42)</f>
        <v>7011</v>
      </c>
      <c r="BC36" s="134">
        <f>(COUNTIF('⚙ Configure'!Z17:Z26,"VH")*$AM$45)+(COUNTIF('⚙ Configure'!Z17:Z26,"H")*$AM$44)+(COUNTIF('⚙ Configure'!Z17:Z26,"M")*$AM$43)+(COUNTIF('⚙ Configure'!Z17:Z26,"L")*$AM$42)</f>
        <v>7011</v>
      </c>
      <c r="BD36" s="134">
        <f>(COUNTIF('⚙ Configure'!AA17:AA26,"VH")*$AM$45)+(COUNTIF('⚙ Configure'!AA17:AA26,"H")*$AM$44)+(COUNTIF('⚙ Configure'!AA17:AA26,"M")*$AM$43)+(COUNTIF('⚙ Configure'!AA17:AA26,"L")*$AM$42)</f>
        <v>9500</v>
      </c>
      <c r="BE36" s="134">
        <f>(COUNTIF('⚙ Configure'!AB17:AB26,"VH")*$AM$45)+(COUNTIF('⚙ Configure'!AB17:AB26,"H")*$AM$44)+(COUNTIF('⚙ Configure'!AB17:AB26,"M")*$AM$43)+(COUNTIF('⚙ Configure'!AB17:AB26,"L")*$AM$42)</f>
        <v>9500</v>
      </c>
      <c r="BF36" s="134">
        <f>(COUNTIF('⚙ Configure'!AC17:AC26,"VH")*$AM$45)+(COUNTIF('⚙ Configure'!AC17:AC26,"H")*$AM$44)+(COUNTIF('⚙ Configure'!AC17:AC26,"M")*$AM$43)+(COUNTIF('⚙ Configure'!AC17:AC26,"L")*$AM$42)</f>
        <v>9500</v>
      </c>
      <c r="BG36" s="145">
        <f t="shared" ref="BG36:BG37" si="101">SUM(AU36:BF36)</f>
        <v>67647</v>
      </c>
      <c r="BI36" s="91">
        <v>1</v>
      </c>
      <c r="BJ36" s="73" t="str">
        <f>IF(EXACT('⚙ Configure'!AE55,""),"",'⚙ Configure'!AE55)</f>
        <v/>
      </c>
      <c r="BK36" s="73"/>
      <c r="BL36" s="73"/>
      <c r="BM36" s="73"/>
      <c r="BN36" s="73"/>
      <c r="BO36" s="73"/>
      <c r="BP36" s="73"/>
      <c r="BQ36" s="73"/>
      <c r="BR36" s="73"/>
      <c r="BS36" s="74"/>
      <c r="BT36" s="74"/>
      <c r="BU36" s="74"/>
      <c r="BV36" s="93"/>
    </row>
    <row r="37" spans="1:74" ht="15" customHeight="1" x14ac:dyDescent="0.3">
      <c r="A37" s="84" t="s">
        <v>113</v>
      </c>
      <c r="B37" s="135">
        <f ca="1">VLOOKUP(B28,$AL$42:$AM$45,2,FALSE)*B51</f>
        <v>91.25</v>
      </c>
      <c r="C37" s="135">
        <f t="shared" ref="C37:M37" ca="1" si="102">VLOOKUP(C28,$AL$42:$AM$45,2,FALSE)*C51</f>
        <v>91.125</v>
      </c>
      <c r="D37" s="135">
        <f t="shared" ca="1" si="102"/>
        <v>90.958333333333343</v>
      </c>
      <c r="E37" s="135">
        <f t="shared" ca="1" si="102"/>
        <v>90.291666666666671</v>
      </c>
      <c r="F37" s="135">
        <f t="shared" ca="1" si="102"/>
        <v>89.291666666666671</v>
      </c>
      <c r="G37" s="135">
        <f t="shared" ca="1" si="102"/>
        <v>88.291666666666671</v>
      </c>
      <c r="H37" s="135">
        <f t="shared" ca="1" si="102"/>
        <v>84.291666666666671</v>
      </c>
      <c r="I37" s="135">
        <f t="shared" ca="1" si="102"/>
        <v>77.291666666666671</v>
      </c>
      <c r="J37" s="135">
        <f t="shared" ca="1" si="102"/>
        <v>70.291666666666671</v>
      </c>
      <c r="K37" s="135">
        <f t="shared" ca="1" si="102"/>
        <v>60.875</v>
      </c>
      <c r="L37" s="135">
        <f t="shared" ca="1" si="102"/>
        <v>30.458333333333336</v>
      </c>
      <c r="M37" s="135">
        <f t="shared" ca="1" si="102"/>
        <v>4.1666666666671404E-2</v>
      </c>
      <c r="N37" s="142">
        <f ca="1">SUM(B37:M37)</f>
        <v>864.45833333333326</v>
      </c>
      <c r="P37" s="86" t="s">
        <v>113</v>
      </c>
      <c r="Q37" s="135">
        <f ca="1">VLOOKUP(Q28,$AL$42:$AM$45,2,FALSE)*B51</f>
        <v>912.5</v>
      </c>
      <c r="R37" s="135">
        <f t="shared" ref="R37:AB37" ca="1" si="103">VLOOKUP(R28,$AL$42:$AM$45,2,FALSE)*C51</f>
        <v>911.25</v>
      </c>
      <c r="S37" s="135">
        <f t="shared" ca="1" si="103"/>
        <v>909.58333333333348</v>
      </c>
      <c r="T37" s="135">
        <f t="shared" ca="1" si="103"/>
        <v>902.91666666666674</v>
      </c>
      <c r="U37" s="135">
        <f t="shared" ca="1" si="103"/>
        <v>89.291666666666671</v>
      </c>
      <c r="V37" s="135">
        <f t="shared" ca="1" si="103"/>
        <v>88.291666666666671</v>
      </c>
      <c r="W37" s="135">
        <f t="shared" ca="1" si="103"/>
        <v>84.291666666666671</v>
      </c>
      <c r="X37" s="135">
        <f t="shared" ca="1" si="103"/>
        <v>77.291666666666671</v>
      </c>
      <c r="Y37" s="135">
        <f t="shared" ca="1" si="103"/>
        <v>70.291666666666671</v>
      </c>
      <c r="Z37" s="135">
        <f t="shared" ca="1" si="103"/>
        <v>60.875</v>
      </c>
      <c r="AA37" s="135">
        <f t="shared" ca="1" si="103"/>
        <v>30.458333333333336</v>
      </c>
      <c r="AB37" s="135">
        <f t="shared" ca="1" si="103"/>
        <v>4.1666666666671404E-2</v>
      </c>
      <c r="AC37" s="143">
        <f ca="1">SUM(Q37:AB37)</f>
        <v>4137.0833333333321</v>
      </c>
      <c r="AE37" s="88" t="s">
        <v>113</v>
      </c>
      <c r="AF37" s="135">
        <f ca="1">VLOOKUP(AF28,$AL$42:$AM$45,2,FALSE)*B51</f>
        <v>91.25</v>
      </c>
      <c r="AG37" s="135">
        <f t="shared" ref="AG37:AQ37" ca="1" si="104">VLOOKUP(AG28,$AL$42:$AM$45,2,FALSE)*C51</f>
        <v>91.125</v>
      </c>
      <c r="AH37" s="135">
        <f t="shared" ca="1" si="104"/>
        <v>90.958333333333343</v>
      </c>
      <c r="AI37" s="135">
        <f t="shared" ca="1" si="104"/>
        <v>90.291666666666671</v>
      </c>
      <c r="AJ37" s="135">
        <f t="shared" ca="1" si="104"/>
        <v>89.291666666666671</v>
      </c>
      <c r="AK37" s="135">
        <f t="shared" ca="1" si="104"/>
        <v>88.291666666666671</v>
      </c>
      <c r="AL37" s="135">
        <f t="shared" ca="1" si="104"/>
        <v>84.291666666666671</v>
      </c>
      <c r="AM37" s="135">
        <f t="shared" ca="1" si="104"/>
        <v>77.291666666666671</v>
      </c>
      <c r="AN37" s="135">
        <f t="shared" ca="1" si="104"/>
        <v>70.291666666666671</v>
      </c>
      <c r="AO37" s="135">
        <f t="shared" ca="1" si="104"/>
        <v>60.875</v>
      </c>
      <c r="AP37" s="135">
        <f t="shared" ca="1" si="104"/>
        <v>30.458333333333336</v>
      </c>
      <c r="AQ37" s="135">
        <f t="shared" ca="1" si="104"/>
        <v>4.1666666666671404E-2</v>
      </c>
      <c r="AR37" s="144">
        <f ca="1">SUM(AF37:AQ37)</f>
        <v>864.45833333333326</v>
      </c>
      <c r="AT37" s="97" t="s">
        <v>113</v>
      </c>
      <c r="AU37" s="135">
        <f ca="1">VLOOKUP(AU28,$AL$42:$AM$45,2,FALSE)*B51</f>
        <v>91.25</v>
      </c>
      <c r="AV37" s="135">
        <f t="shared" ref="AV37:BF37" ca="1" si="105">VLOOKUP(AV28,$AL$42:$AM$45,2,FALSE)*C51</f>
        <v>91.125</v>
      </c>
      <c r="AW37" s="135">
        <f t="shared" ca="1" si="105"/>
        <v>90.958333333333343</v>
      </c>
      <c r="AX37" s="135">
        <f t="shared" ca="1" si="105"/>
        <v>90.291666666666671</v>
      </c>
      <c r="AY37" s="135">
        <f t="shared" ca="1" si="105"/>
        <v>89.291666666666671</v>
      </c>
      <c r="AZ37" s="135">
        <f t="shared" ca="1" si="105"/>
        <v>88.291666666666671</v>
      </c>
      <c r="BA37" s="135">
        <f t="shared" ca="1" si="105"/>
        <v>84.291666666666671</v>
      </c>
      <c r="BB37" s="135">
        <f t="shared" ca="1" si="105"/>
        <v>77.291666666666671</v>
      </c>
      <c r="BC37" s="135">
        <f t="shared" ca="1" si="105"/>
        <v>70.291666666666671</v>
      </c>
      <c r="BD37" s="135">
        <f t="shared" ca="1" si="105"/>
        <v>30437.5</v>
      </c>
      <c r="BE37" s="135">
        <f t="shared" ca="1" si="105"/>
        <v>15229.166666666668</v>
      </c>
      <c r="BF37" s="135">
        <f t="shared" ca="1" si="105"/>
        <v>20.833333333335702</v>
      </c>
      <c r="BG37" s="145">
        <f t="shared" ca="1" si="101"/>
        <v>46460.583333333336</v>
      </c>
      <c r="BI37" s="92">
        <v>2</v>
      </c>
      <c r="BJ37" s="71" t="str">
        <f>IF(EXACT('⚙ Configure'!AE54,""),"",'⚙ Configure'!AE54)</f>
        <v/>
      </c>
      <c r="BK37" s="71"/>
      <c r="BL37" s="71"/>
      <c r="BM37" s="71"/>
      <c r="BN37" s="71"/>
      <c r="BO37" s="71"/>
      <c r="BP37" s="71"/>
      <c r="BQ37" s="71"/>
      <c r="BR37" s="71"/>
      <c r="BS37" s="12"/>
      <c r="BT37" s="12"/>
      <c r="BU37" s="12"/>
      <c r="BV37" s="93"/>
    </row>
    <row r="38" spans="1:74" ht="15" customHeight="1" x14ac:dyDescent="0.3">
      <c r="A38" s="84" t="s">
        <v>114</v>
      </c>
      <c r="B38" s="12">
        <f ca="1">B27*B51</f>
        <v>91.25</v>
      </c>
      <c r="C38" s="12">
        <f t="shared" ref="C38:M38" ca="1" si="106">C27*C51</f>
        <v>91.125</v>
      </c>
      <c r="D38" s="12">
        <f t="shared" ca="1" si="106"/>
        <v>90.958333333333343</v>
      </c>
      <c r="E38" s="12">
        <f t="shared" ca="1" si="106"/>
        <v>90.291666666666671</v>
      </c>
      <c r="F38" s="12">
        <f t="shared" ca="1" si="106"/>
        <v>89.291666666666671</v>
      </c>
      <c r="G38" s="12">
        <f t="shared" ca="1" si="106"/>
        <v>88.291666666666671</v>
      </c>
      <c r="H38" s="12">
        <f t="shared" ca="1" si="106"/>
        <v>84.291666666666671</v>
      </c>
      <c r="I38" s="12">
        <f t="shared" ca="1" si="106"/>
        <v>77.291666666666671</v>
      </c>
      <c r="J38" s="12">
        <f t="shared" ca="1" si="106"/>
        <v>70.291666666666671</v>
      </c>
      <c r="K38" s="12">
        <f t="shared" ca="1" si="106"/>
        <v>60.875</v>
      </c>
      <c r="L38" s="12">
        <f t="shared" ca="1" si="106"/>
        <v>30.458333333333336</v>
      </c>
      <c r="M38" s="12">
        <f t="shared" ca="1" si="106"/>
        <v>4.1666666666671404E-2</v>
      </c>
      <c r="N38" s="142">
        <f ca="1">SUM(B38:M38)</f>
        <v>864.45833333333326</v>
      </c>
      <c r="P38" s="86" t="s">
        <v>114</v>
      </c>
      <c r="Q38" s="12">
        <f ca="1">Q27*B51</f>
        <v>91.25</v>
      </c>
      <c r="R38" s="12">
        <f t="shared" ref="R38:AB38" ca="1" si="107">R27*C51</f>
        <v>91.125</v>
      </c>
      <c r="S38" s="12">
        <f t="shared" ca="1" si="107"/>
        <v>90.958333333333343</v>
      </c>
      <c r="T38" s="12">
        <f t="shared" ca="1" si="107"/>
        <v>90.291666666666671</v>
      </c>
      <c r="U38" s="12">
        <f t="shared" ca="1" si="107"/>
        <v>89.291666666666671</v>
      </c>
      <c r="V38" s="12">
        <f t="shared" ca="1" si="107"/>
        <v>88.291666666666671</v>
      </c>
      <c r="W38" s="12">
        <f t="shared" ca="1" si="107"/>
        <v>84.291666666666671</v>
      </c>
      <c r="X38" s="12">
        <f t="shared" ca="1" si="107"/>
        <v>77.291666666666671</v>
      </c>
      <c r="Y38" s="12">
        <f t="shared" ca="1" si="107"/>
        <v>70.291666666666671</v>
      </c>
      <c r="Z38" s="12">
        <f t="shared" ca="1" si="107"/>
        <v>60.875</v>
      </c>
      <c r="AA38" s="12">
        <f t="shared" ca="1" si="107"/>
        <v>30.458333333333336</v>
      </c>
      <c r="AB38" s="12">
        <f t="shared" ca="1" si="107"/>
        <v>4.1666666666671404E-2</v>
      </c>
      <c r="AC38" s="143">
        <f ca="1">SUM(Q38:AB38)</f>
        <v>864.45833333333326</v>
      </c>
      <c r="AE38" s="88" t="s">
        <v>114</v>
      </c>
      <c r="AF38" s="12">
        <f ca="1">AF27*B51</f>
        <v>91.25</v>
      </c>
      <c r="AG38" s="12">
        <f t="shared" ref="AG38:AQ38" ca="1" si="108">AG27*C51</f>
        <v>91.125</v>
      </c>
      <c r="AH38" s="12">
        <f t="shared" ca="1" si="108"/>
        <v>90.958333333333343</v>
      </c>
      <c r="AI38" s="12">
        <f t="shared" ca="1" si="108"/>
        <v>90.291666666666671</v>
      </c>
      <c r="AJ38" s="12">
        <f t="shared" ca="1" si="108"/>
        <v>89.291666666666671</v>
      </c>
      <c r="AK38" s="12">
        <f t="shared" ca="1" si="108"/>
        <v>88.291666666666671</v>
      </c>
      <c r="AL38" s="12">
        <f t="shared" ca="1" si="108"/>
        <v>84.291666666666671</v>
      </c>
      <c r="AM38" s="12">
        <f t="shared" ca="1" si="108"/>
        <v>77.291666666666671</v>
      </c>
      <c r="AN38" s="12">
        <f t="shared" ca="1" si="108"/>
        <v>70.291666666666671</v>
      </c>
      <c r="AO38" s="12">
        <f t="shared" ca="1" si="108"/>
        <v>60.875</v>
      </c>
      <c r="AP38" s="12">
        <f t="shared" ca="1" si="108"/>
        <v>30.458333333333336</v>
      </c>
      <c r="AQ38" s="12">
        <f t="shared" ca="1" si="108"/>
        <v>4.1666666666671404E-2</v>
      </c>
      <c r="AR38" s="144">
        <f ca="1">SUM(AF38:AQ38)</f>
        <v>864.45833333333326</v>
      </c>
      <c r="AT38" s="97" t="s">
        <v>114</v>
      </c>
      <c r="AU38" s="12">
        <f ca="1">AU27*B51</f>
        <v>91.25</v>
      </c>
      <c r="AV38" s="12">
        <f t="shared" ref="AV38:BF38" ca="1" si="109">AV27*C51</f>
        <v>91.125</v>
      </c>
      <c r="AW38" s="12">
        <f t="shared" ca="1" si="109"/>
        <v>90.958333333333343</v>
      </c>
      <c r="AX38" s="12">
        <f t="shared" ca="1" si="109"/>
        <v>90.291666666666671</v>
      </c>
      <c r="AY38" s="12">
        <f t="shared" ca="1" si="109"/>
        <v>89.291666666666671</v>
      </c>
      <c r="AZ38" s="12">
        <f t="shared" ca="1" si="109"/>
        <v>88.291666666666671</v>
      </c>
      <c r="BA38" s="12">
        <f t="shared" ca="1" si="109"/>
        <v>84.291666666666671</v>
      </c>
      <c r="BB38" s="12">
        <f t="shared" ca="1" si="109"/>
        <v>77.291666666666671</v>
      </c>
      <c r="BC38" s="12">
        <f t="shared" ca="1" si="109"/>
        <v>70.291666666666671</v>
      </c>
      <c r="BD38" s="12">
        <f t="shared" ca="1" si="109"/>
        <v>60.875</v>
      </c>
      <c r="BE38" s="12">
        <f t="shared" ca="1" si="109"/>
        <v>30.458333333333336</v>
      </c>
      <c r="BF38" s="12">
        <f t="shared" ca="1" si="109"/>
        <v>4.1666666666671404E-2</v>
      </c>
      <c r="BG38" s="145">
        <f ca="1">SUM(AU38:BF38)</f>
        <v>864.45833333333326</v>
      </c>
      <c r="BI38" s="92">
        <v>3</v>
      </c>
      <c r="BJ38" s="71" t="str">
        <f>IF(EXACT('⚙ Configure'!AE53,""),"",'⚙ Configure'!AE53)</f>
        <v/>
      </c>
      <c r="BK38" s="71"/>
      <c r="BL38" s="71"/>
      <c r="BM38" s="71"/>
      <c r="BN38" s="71"/>
      <c r="BO38" s="71"/>
      <c r="BP38" s="71"/>
      <c r="BQ38" s="71"/>
      <c r="BR38" s="71"/>
      <c r="BS38" s="12"/>
      <c r="BT38" s="12"/>
      <c r="BU38" s="12"/>
      <c r="BV38" s="93"/>
    </row>
    <row r="40" spans="1:74" s="109" customFormat="1" ht="21" x14ac:dyDescent="0.5">
      <c r="A40" s="123" t="s">
        <v>117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25"/>
      <c r="P40" s="123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5"/>
      <c r="AD40" s="11"/>
      <c r="AE40" s="136" t="s">
        <v>133</v>
      </c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8"/>
      <c r="AS40" s="11"/>
      <c r="AT40" s="140" t="s">
        <v>134</v>
      </c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</row>
    <row r="41" spans="1:74" ht="15" customHeight="1" x14ac:dyDescent="0.35">
      <c r="A41" s="101" t="s">
        <v>130</v>
      </c>
      <c r="O41" s="101" t="s">
        <v>82</v>
      </c>
      <c r="AE41" s="101" t="s">
        <v>88</v>
      </c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</row>
    <row r="42" spans="1:74" ht="15" customHeight="1" x14ac:dyDescent="0.35">
      <c r="A42" s="130" t="s">
        <v>78</v>
      </c>
      <c r="B42" s="40">
        <f ca="1">OFFSET('⚙ Configure'!$C$31,COLUMN(B42)-COLUMN($B42),0)</f>
        <v>1</v>
      </c>
      <c r="C42" s="40">
        <f ca="1">OFFSET('⚙ Configure'!$C$31,COLUMN(C42)-COLUMN($B42),0)</f>
        <v>4</v>
      </c>
      <c r="D42" s="40">
        <f ca="1">OFFSET('⚙ Configure'!$C$31,COLUMN(D42)-COLUMN($B42),0)</f>
        <v>8</v>
      </c>
      <c r="E42" s="40">
        <f ca="1">OFFSET('⚙ Configure'!$C$31,COLUMN(E42)-COLUMN($B42),0)</f>
        <v>1</v>
      </c>
      <c r="F42" s="40">
        <f ca="1">OFFSET('⚙ Configure'!$C$31,COLUMN(F42)-COLUMN($B42),0)</f>
        <v>2</v>
      </c>
      <c r="G42" s="40">
        <f ca="1">OFFSET('⚙ Configure'!$C$31,COLUMN(G42)-COLUMN($B42),0)</f>
        <v>3</v>
      </c>
      <c r="H42" s="40">
        <f ca="1">OFFSET('⚙ Configure'!$C$31,COLUMN(H42)-COLUMN($B42),0)</f>
        <v>1</v>
      </c>
      <c r="I42" s="40">
        <f ca="1">OFFSET('⚙ Configure'!$C$31,COLUMN(I42)-COLUMN($B42),0)</f>
        <v>2</v>
      </c>
      <c r="J42" s="40">
        <f ca="1">OFFSET('⚙ Configure'!$C$31,COLUMN(J42)-COLUMN($B42),0)</f>
        <v>3</v>
      </c>
      <c r="K42" s="40">
        <f ca="1">OFFSET('⚙ Configure'!$C$31,COLUMN(K42)-COLUMN($B42),0)</f>
        <v>1</v>
      </c>
      <c r="L42" s="40">
        <f ca="1">OFFSET('⚙ Configure'!$C$31,COLUMN(L42)-COLUMN($B42),0)</f>
        <v>2</v>
      </c>
      <c r="M42" s="40">
        <f ca="1">OFFSET('⚙ Configure'!$C$31,COLUMN(M42)-COLUMN($B42),0)</f>
        <v>3</v>
      </c>
      <c r="O42" s="175" t="s">
        <v>79</v>
      </c>
      <c r="P42" s="175"/>
      <c r="Q42" s="127" t="s">
        <v>80</v>
      </c>
      <c r="R42" s="127" t="s">
        <v>81</v>
      </c>
      <c r="S42" s="128" t="s">
        <v>119</v>
      </c>
      <c r="T42" s="128" t="s">
        <v>127</v>
      </c>
      <c r="AE42" s="28" t="s">
        <v>28</v>
      </c>
      <c r="AF42" s="174" t="s">
        <v>89</v>
      </c>
      <c r="AG42" s="174"/>
      <c r="AH42" s="174"/>
      <c r="AJ42" s="23"/>
      <c r="AL42" s="11" t="s">
        <v>28</v>
      </c>
      <c r="AM42" s="11">
        <v>1</v>
      </c>
      <c r="AT42" s="139"/>
      <c r="AU42" s="139"/>
      <c r="AV42" s="148" t="s">
        <v>135</v>
      </c>
      <c r="AW42" s="177" t="str">
        <f ca="1">IFERROR(OFFSET(B44,0,MATCH(FALSE,BJ33:BU33,0)-1),"N/A")</f>
        <v>1 mth</v>
      </c>
      <c r="AX42" s="178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</row>
    <row r="43" spans="1:74" ht="15" customHeight="1" x14ac:dyDescent="0.35">
      <c r="A43" s="130" t="s">
        <v>116</v>
      </c>
      <c r="B43" s="122" t="str">
        <f ca="1">OFFSET('⚙ Configure'!$D$31,COLUMN(B43)-COLUMN($B43),0)</f>
        <v>hours</v>
      </c>
      <c r="C43" s="122" t="str">
        <f ca="1">OFFSET('⚙ Configure'!$D$31,COLUMN(C43)-COLUMN($B43),0)</f>
        <v>hours</v>
      </c>
      <c r="D43" s="122" t="str">
        <f ca="1">OFFSET('⚙ Configure'!$D$31,COLUMN(D43)-COLUMN($B43),0)</f>
        <v>hours</v>
      </c>
      <c r="E43" s="122" t="str">
        <f ca="1">OFFSET('⚙ Configure'!$D$31,COLUMN(E43)-COLUMN($B43),0)</f>
        <v>days</v>
      </c>
      <c r="F43" s="122" t="str">
        <f ca="1">OFFSET('⚙ Configure'!$D$31,COLUMN(F43)-COLUMN($B43),0)</f>
        <v>days</v>
      </c>
      <c r="G43" s="122" t="str">
        <f ca="1">OFFSET('⚙ Configure'!$D$31,COLUMN(G43)-COLUMN($B43),0)</f>
        <v>days</v>
      </c>
      <c r="H43" s="122" t="str">
        <f ca="1">OFFSET('⚙ Configure'!$D$31,COLUMN(H43)-COLUMN($B43),0)</f>
        <v>weeks</v>
      </c>
      <c r="I43" s="122" t="str">
        <f ca="1">OFFSET('⚙ Configure'!$D$31,COLUMN(I43)-COLUMN($B43),0)</f>
        <v>weeks</v>
      </c>
      <c r="J43" s="122" t="str">
        <f ca="1">OFFSET('⚙ Configure'!$D$31,COLUMN(J43)-COLUMN($B43),0)</f>
        <v>weeks</v>
      </c>
      <c r="K43" s="122" t="str">
        <f ca="1">OFFSET('⚙ Configure'!$D$31,COLUMN(K43)-COLUMN($B43),0)</f>
        <v>months</v>
      </c>
      <c r="L43" s="122" t="str">
        <f ca="1">OFFSET('⚙ Configure'!$D$31,COLUMN(L43)-COLUMN($B43),0)</f>
        <v>months</v>
      </c>
      <c r="M43" s="122" t="str">
        <f ca="1">OFFSET('⚙ Configure'!$D$31,COLUMN(M43)-COLUMN($B43),0)</f>
        <v>months</v>
      </c>
      <c r="O43" s="176" t="s">
        <v>74</v>
      </c>
      <c r="P43" s="176"/>
      <c r="Q43" s="14" t="s">
        <v>73</v>
      </c>
      <c r="R43" s="14" t="s">
        <v>73</v>
      </c>
      <c r="S43" s="15">
        <f>S44/60</f>
        <v>6.9444444444444436E-4</v>
      </c>
      <c r="T43" s="15">
        <v>0.04</v>
      </c>
      <c r="AE43" s="26" t="s">
        <v>27</v>
      </c>
      <c r="AF43" s="174" t="s">
        <v>91</v>
      </c>
      <c r="AG43" s="174"/>
      <c r="AH43" s="174"/>
      <c r="AJ43" s="23"/>
      <c r="AL43" s="11" t="s">
        <v>27</v>
      </c>
      <c r="AM43" s="11">
        <v>10</v>
      </c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</row>
    <row r="44" spans="1:74" ht="15" customHeight="1" x14ac:dyDescent="0.35">
      <c r="A44" s="130" t="s">
        <v>118</v>
      </c>
      <c r="B44" s="126" t="str">
        <f t="shared" ref="B44:M44" ca="1" si="110">TEXT(B42,"#")&amp;" "&amp;VLOOKUP(B43,$O$43:$R$48,IF(B42=1,3,4),FALSE)</f>
        <v>1 hr</v>
      </c>
      <c r="C44" s="126" t="str">
        <f t="shared" ca="1" si="110"/>
        <v>4 hrs</v>
      </c>
      <c r="D44" s="126" t="str">
        <f t="shared" ca="1" si="110"/>
        <v>8 hrs</v>
      </c>
      <c r="E44" s="126" t="str">
        <f t="shared" ca="1" si="110"/>
        <v>1 day</v>
      </c>
      <c r="F44" s="126" t="str">
        <f t="shared" ca="1" si="110"/>
        <v>2 days</v>
      </c>
      <c r="G44" s="126" t="str">
        <f t="shared" ca="1" si="110"/>
        <v>3 days</v>
      </c>
      <c r="H44" s="126" t="str">
        <f t="shared" ca="1" si="110"/>
        <v>1 wk</v>
      </c>
      <c r="I44" s="126" t="str">
        <f t="shared" ca="1" si="110"/>
        <v>2 wks</v>
      </c>
      <c r="J44" s="126" t="str">
        <f t="shared" ca="1" si="110"/>
        <v>3 wks</v>
      </c>
      <c r="K44" s="126" t="str">
        <f t="shared" ca="1" si="110"/>
        <v>1 mth</v>
      </c>
      <c r="L44" s="126" t="str">
        <f t="shared" ca="1" si="110"/>
        <v>2 mths</v>
      </c>
      <c r="M44" s="126" t="str">
        <f t="shared" ca="1" si="110"/>
        <v>3 mths</v>
      </c>
      <c r="O44" s="176" t="s">
        <v>21</v>
      </c>
      <c r="P44" s="176"/>
      <c r="Q44" s="14" t="s">
        <v>66</v>
      </c>
      <c r="R44" s="14" t="s">
        <v>67</v>
      </c>
      <c r="S44" s="15">
        <f>S45/24</f>
        <v>4.1666666666666664E-2</v>
      </c>
      <c r="T44" s="15">
        <v>0.5</v>
      </c>
      <c r="AE44" s="27" t="s">
        <v>26</v>
      </c>
      <c r="AF44" s="174" t="s">
        <v>92</v>
      </c>
      <c r="AG44" s="174"/>
      <c r="AH44" s="174"/>
      <c r="AJ44" s="23"/>
      <c r="AL44" s="11" t="s">
        <v>26</v>
      </c>
      <c r="AM44" s="11">
        <v>500</v>
      </c>
      <c r="AT44" s="139"/>
      <c r="AU44" s="139"/>
      <c r="AV44" s="148" t="s">
        <v>137</v>
      </c>
      <c r="AW44" s="177" t="str">
        <f ca="1">IF(OR(N32,AC32,AR32,BG32),"Very High",IF(OR(N31,AC31,AR31,BG31),"High",IF(OR(N30,AC30,AR30,BG30),"Medium","Low")))</f>
        <v>High</v>
      </c>
      <c r="AX44" s="178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</row>
    <row r="45" spans="1:74" ht="15" customHeight="1" x14ac:dyDescent="0.35">
      <c r="A45" s="130" t="s">
        <v>128</v>
      </c>
      <c r="B45" s="133">
        <f t="shared" ref="B45:M45" ca="1" si="111">B50/VLOOKUP(B46,$O43:$S48,5,FALSE)</f>
        <v>1</v>
      </c>
      <c r="C45" s="133">
        <f t="shared" ca="1" si="111"/>
        <v>4</v>
      </c>
      <c r="D45" s="133">
        <f t="shared" ca="1" si="111"/>
        <v>8</v>
      </c>
      <c r="E45" s="133">
        <f t="shared" ca="1" si="111"/>
        <v>1</v>
      </c>
      <c r="F45" s="133">
        <f t="shared" ca="1" si="111"/>
        <v>2</v>
      </c>
      <c r="G45" s="133">
        <f t="shared" ca="1" si="111"/>
        <v>3</v>
      </c>
      <c r="H45" s="133">
        <f t="shared" ca="1" si="111"/>
        <v>1</v>
      </c>
      <c r="I45" s="133">
        <f t="shared" ca="1" si="111"/>
        <v>2</v>
      </c>
      <c r="J45" s="133">
        <f t="shared" ca="1" si="111"/>
        <v>3</v>
      </c>
      <c r="K45" s="133">
        <f t="shared" ca="1" si="111"/>
        <v>1</v>
      </c>
      <c r="L45" s="133">
        <f t="shared" ca="1" si="111"/>
        <v>2</v>
      </c>
      <c r="M45" s="133">
        <f t="shared" ca="1" si="111"/>
        <v>3</v>
      </c>
      <c r="O45" s="176" t="s">
        <v>22</v>
      </c>
      <c r="P45" s="176"/>
      <c r="Q45" s="14" t="s">
        <v>68</v>
      </c>
      <c r="R45" s="14" t="s">
        <v>22</v>
      </c>
      <c r="S45" s="16">
        <v>1</v>
      </c>
      <c r="T45" s="15">
        <v>7</v>
      </c>
      <c r="AE45" s="25" t="s">
        <v>25</v>
      </c>
      <c r="AF45" s="174" t="s">
        <v>90</v>
      </c>
      <c r="AG45" s="174"/>
      <c r="AH45" s="174"/>
      <c r="AJ45" s="24"/>
      <c r="AL45" s="11" t="s">
        <v>25</v>
      </c>
      <c r="AM45" s="11">
        <v>1000</v>
      </c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83" t="s">
        <v>142</v>
      </c>
      <c r="BF45" s="183"/>
      <c r="BG45" s="183" t="s">
        <v>142</v>
      </c>
      <c r="BH45" s="183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</row>
    <row r="46" spans="1:74" ht="15" customHeight="1" x14ac:dyDescent="0.3">
      <c r="A46" s="130" t="s">
        <v>126</v>
      </c>
      <c r="B46" s="132" t="str">
        <f t="shared" ref="B46:M46" ca="1" si="112">OFFSET($O43,IFERROR(MATCH(B50,$T43:$T48,1),6),0)</f>
        <v>hours</v>
      </c>
      <c r="C46" s="132" t="str">
        <f t="shared" ca="1" si="112"/>
        <v>hours</v>
      </c>
      <c r="D46" s="132" t="str">
        <f t="shared" ca="1" si="112"/>
        <v>hours</v>
      </c>
      <c r="E46" s="132" t="str">
        <f t="shared" ca="1" si="112"/>
        <v>days</v>
      </c>
      <c r="F46" s="132" t="str">
        <f t="shared" ca="1" si="112"/>
        <v>days</v>
      </c>
      <c r="G46" s="132" t="str">
        <f t="shared" ca="1" si="112"/>
        <v>days</v>
      </c>
      <c r="H46" s="132" t="str">
        <f t="shared" ca="1" si="112"/>
        <v>weeks</v>
      </c>
      <c r="I46" s="132" t="str">
        <f t="shared" ca="1" si="112"/>
        <v>weeks</v>
      </c>
      <c r="J46" s="132" t="str">
        <f t="shared" ca="1" si="112"/>
        <v>weeks</v>
      </c>
      <c r="K46" s="132" t="str">
        <f t="shared" ca="1" si="112"/>
        <v>months</v>
      </c>
      <c r="L46" s="132" t="str">
        <f t="shared" ca="1" si="112"/>
        <v>months</v>
      </c>
      <c r="M46" s="132" t="str">
        <f t="shared" ca="1" si="112"/>
        <v>months</v>
      </c>
      <c r="O46" s="176" t="s">
        <v>23</v>
      </c>
      <c r="P46" s="176"/>
      <c r="Q46" s="14" t="s">
        <v>69</v>
      </c>
      <c r="R46" s="14" t="s">
        <v>70</v>
      </c>
      <c r="S46" s="16">
        <f>S45*7</f>
        <v>7</v>
      </c>
      <c r="T46" s="15">
        <v>28</v>
      </c>
      <c r="AT46" s="139"/>
      <c r="AU46" s="139"/>
      <c r="AV46" s="148" t="s">
        <v>138</v>
      </c>
      <c r="AW46" s="179">
        <f ca="1">IFERROR(MATCH(TRUE,B29:M29,0),"")</f>
        <v>1</v>
      </c>
      <c r="AX46" s="180"/>
      <c r="AY46" s="179">
        <f ca="1">IFERROR(MATCH(TRUE,Q29:AB29,0),"")</f>
        <v>5</v>
      </c>
      <c r="AZ46" s="180"/>
      <c r="BA46" s="179">
        <f ca="1">IFERROR(MATCH(TRUE,AF29:AQ29,0),"")</f>
        <v>1</v>
      </c>
      <c r="BB46" s="180"/>
      <c r="BC46" s="179">
        <f ca="1">IFERROR(MATCH(TRUE,AU29:BF29,0),"")</f>
        <v>1</v>
      </c>
      <c r="BD46" s="180"/>
      <c r="BE46" s="181">
        <f ca="1">MIN(AW46:BD46)</f>
        <v>1</v>
      </c>
      <c r="BF46" s="182"/>
      <c r="BG46" s="181">
        <f ca="1">MAX(AW46:BD46)</f>
        <v>5</v>
      </c>
      <c r="BH46" s="182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</row>
    <row r="47" spans="1:74" ht="15" customHeight="1" x14ac:dyDescent="0.3">
      <c r="A47" s="130" t="s">
        <v>121</v>
      </c>
      <c r="B47" s="129">
        <f t="shared" ref="B47:M47" ca="1" si="113">100/$M$50*B50</f>
        <v>4.5662100456621002E-2</v>
      </c>
      <c r="C47" s="129">
        <f t="shared" ca="1" si="113"/>
        <v>0.18264840182648401</v>
      </c>
      <c r="D47" s="129">
        <f t="shared" ca="1" si="113"/>
        <v>0.36529680365296802</v>
      </c>
      <c r="E47" s="129">
        <f t="shared" ca="1" si="113"/>
        <v>1.095890410958904</v>
      </c>
      <c r="F47" s="129">
        <f t="shared" ca="1" si="113"/>
        <v>2.1917808219178081</v>
      </c>
      <c r="G47" s="129">
        <f t="shared" ca="1" si="113"/>
        <v>3.2876712328767121</v>
      </c>
      <c r="H47" s="129">
        <f t="shared" ca="1" si="113"/>
        <v>7.6712328767123283</v>
      </c>
      <c r="I47" s="129">
        <f t="shared" ca="1" si="113"/>
        <v>15.342465753424657</v>
      </c>
      <c r="J47" s="129">
        <f t="shared" ca="1" si="113"/>
        <v>23.013698630136986</v>
      </c>
      <c r="K47" s="129">
        <f t="shared" ca="1" si="113"/>
        <v>33.333333333333336</v>
      </c>
      <c r="L47" s="129">
        <f t="shared" ca="1" si="113"/>
        <v>66.666666666666671</v>
      </c>
      <c r="M47" s="129">
        <f t="shared" ca="1" si="113"/>
        <v>100</v>
      </c>
      <c r="O47" s="176" t="s">
        <v>24</v>
      </c>
      <c r="P47" s="176"/>
      <c r="Q47" s="14" t="s">
        <v>71</v>
      </c>
      <c r="R47" s="14" t="s">
        <v>72</v>
      </c>
      <c r="S47" s="70">
        <f>S48/12</f>
        <v>30.416666666666668</v>
      </c>
      <c r="T47" s="15">
        <v>365</v>
      </c>
      <c r="AT47" s="139"/>
      <c r="AU47" s="139"/>
      <c r="AV47" s="148" t="s">
        <v>139</v>
      </c>
      <c r="AW47" s="179" t="str">
        <f t="shared" ref="AW47:AW49" ca="1" si="114">IFERROR(MATCH(TRUE,B30:M30,0),"")</f>
        <v/>
      </c>
      <c r="AX47" s="180"/>
      <c r="AY47" s="179">
        <f t="shared" ref="AY47:AY49" ca="1" si="115">IFERROR(MATCH(TRUE,Q30:AB30,0),"")</f>
        <v>1</v>
      </c>
      <c r="AZ47" s="180"/>
      <c r="BA47" s="179" t="str">
        <f t="shared" ref="BA47:BA49" ca="1" si="116">IFERROR(MATCH(TRUE,AF30:AQ30,0),"")</f>
        <v/>
      </c>
      <c r="BB47" s="180"/>
      <c r="BC47" s="179" t="str">
        <f t="shared" ref="BC47:BC49" ca="1" si="117">IFERROR(MATCH(TRUE,AU30:BF30,0),"")</f>
        <v/>
      </c>
      <c r="BD47" s="180"/>
      <c r="BE47" s="181">
        <f t="shared" ref="BE47:BE49" ca="1" si="118">MIN(AW47:BD47)</f>
        <v>1</v>
      </c>
      <c r="BF47" s="182"/>
      <c r="BG47" s="181">
        <f t="shared" ref="BG47:BG49" ca="1" si="119">MAX(AW47:BD47)</f>
        <v>1</v>
      </c>
      <c r="BH47" s="182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</row>
    <row r="48" spans="1:74" ht="15" customHeight="1" x14ac:dyDescent="0.3">
      <c r="A48" s="130" t="s">
        <v>122</v>
      </c>
      <c r="B48" s="129">
        <f t="shared" ref="B48:M48" ca="1" si="120">IF(B47&lt;33.3333,1,IF(B47&lt;66.6666,2,3))</f>
        <v>1</v>
      </c>
      <c r="C48" s="129">
        <f t="shared" ca="1" si="120"/>
        <v>1</v>
      </c>
      <c r="D48" s="129">
        <f t="shared" ca="1" si="120"/>
        <v>1</v>
      </c>
      <c r="E48" s="129">
        <f t="shared" ca="1" si="120"/>
        <v>1</v>
      </c>
      <c r="F48" s="129">
        <f t="shared" ca="1" si="120"/>
        <v>1</v>
      </c>
      <c r="G48" s="129">
        <f t="shared" ca="1" si="120"/>
        <v>1</v>
      </c>
      <c r="H48" s="129">
        <f t="shared" ca="1" si="120"/>
        <v>1</v>
      </c>
      <c r="I48" s="129">
        <f t="shared" ca="1" si="120"/>
        <v>1</v>
      </c>
      <c r="J48" s="129">
        <f t="shared" ca="1" si="120"/>
        <v>1</v>
      </c>
      <c r="K48" s="129">
        <f t="shared" ca="1" si="120"/>
        <v>2</v>
      </c>
      <c r="L48" s="129">
        <f t="shared" ca="1" si="120"/>
        <v>3</v>
      </c>
      <c r="M48" s="129">
        <f t="shared" ca="1" si="120"/>
        <v>3</v>
      </c>
      <c r="O48" s="176" t="s">
        <v>93</v>
      </c>
      <c r="P48" s="176"/>
      <c r="Q48" s="14" t="s">
        <v>94</v>
      </c>
      <c r="R48" s="14" t="s">
        <v>95</v>
      </c>
      <c r="S48" s="16">
        <f>S45*365</f>
        <v>365</v>
      </c>
      <c r="T48" s="15">
        <v>99999</v>
      </c>
      <c r="AT48" s="139"/>
      <c r="AU48" s="139"/>
      <c r="AV48" s="148" t="s">
        <v>140</v>
      </c>
      <c r="AW48" s="179" t="str">
        <f t="shared" ca="1" si="114"/>
        <v/>
      </c>
      <c r="AX48" s="180"/>
      <c r="AY48" s="179" t="str">
        <f t="shared" ca="1" si="115"/>
        <v/>
      </c>
      <c r="AZ48" s="180"/>
      <c r="BA48" s="179" t="str">
        <f t="shared" ca="1" si="116"/>
        <v/>
      </c>
      <c r="BB48" s="180"/>
      <c r="BC48" s="179">
        <f t="shared" ca="1" si="117"/>
        <v>10</v>
      </c>
      <c r="BD48" s="180"/>
      <c r="BE48" s="181">
        <f t="shared" ca="1" si="118"/>
        <v>10</v>
      </c>
      <c r="BF48" s="182"/>
      <c r="BG48" s="181">
        <f t="shared" ca="1" si="119"/>
        <v>10</v>
      </c>
      <c r="BH48" s="182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</row>
    <row r="49" spans="1:74" ht="15" customHeight="1" x14ac:dyDescent="0.35">
      <c r="A49" s="101" t="s">
        <v>131</v>
      </c>
      <c r="AT49" s="139"/>
      <c r="AU49" s="139"/>
      <c r="AV49" s="148" t="s">
        <v>141</v>
      </c>
      <c r="AW49" s="179" t="str">
        <f t="shared" ca="1" si="114"/>
        <v/>
      </c>
      <c r="AX49" s="180"/>
      <c r="AY49" s="179" t="str">
        <f t="shared" ca="1" si="115"/>
        <v/>
      </c>
      <c r="AZ49" s="180"/>
      <c r="BA49" s="179" t="str">
        <f t="shared" ca="1" si="116"/>
        <v/>
      </c>
      <c r="BB49" s="180"/>
      <c r="BC49" s="179" t="str">
        <f t="shared" ca="1" si="117"/>
        <v/>
      </c>
      <c r="BD49" s="180"/>
      <c r="BE49" s="181">
        <f t="shared" ca="1" si="118"/>
        <v>0</v>
      </c>
      <c r="BF49" s="182"/>
      <c r="BG49" s="181">
        <f t="shared" ca="1" si="119"/>
        <v>0</v>
      </c>
      <c r="BH49" s="182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</row>
    <row r="50" spans="1:74" ht="15" customHeight="1" x14ac:dyDescent="0.3">
      <c r="A50" s="130" t="s">
        <v>120</v>
      </c>
      <c r="B50" s="129">
        <f t="shared" ref="B50:M50" ca="1" si="121">VALUE(B42)*VALUE(VLOOKUP(B43,$O$43:$S$48,5,FALSE))</f>
        <v>4.1666666666666664E-2</v>
      </c>
      <c r="C50" s="129">
        <f t="shared" ca="1" si="121"/>
        <v>0.16666666666666666</v>
      </c>
      <c r="D50" s="129">
        <f t="shared" ca="1" si="121"/>
        <v>0.33333333333333331</v>
      </c>
      <c r="E50" s="129">
        <f t="shared" ca="1" si="121"/>
        <v>1</v>
      </c>
      <c r="F50" s="129">
        <f t="shared" ca="1" si="121"/>
        <v>2</v>
      </c>
      <c r="G50" s="129">
        <f t="shared" ca="1" si="121"/>
        <v>3</v>
      </c>
      <c r="H50" s="129">
        <f t="shared" ca="1" si="121"/>
        <v>7</v>
      </c>
      <c r="I50" s="129">
        <f t="shared" ca="1" si="121"/>
        <v>14</v>
      </c>
      <c r="J50" s="129">
        <f t="shared" ca="1" si="121"/>
        <v>21</v>
      </c>
      <c r="K50" s="129">
        <f t="shared" ca="1" si="121"/>
        <v>30.416666666666668</v>
      </c>
      <c r="L50" s="129">
        <f t="shared" ca="1" si="121"/>
        <v>60.833333333333336</v>
      </c>
      <c r="M50" s="129">
        <f t="shared" ca="1" si="121"/>
        <v>91.25</v>
      </c>
      <c r="AB50" s="11">
        <v>753</v>
      </c>
      <c r="AC50" s="11">
        <v>763</v>
      </c>
      <c r="AD50" s="11">
        <v>863</v>
      </c>
      <c r="AE50" s="11">
        <v>864</v>
      </c>
      <c r="AF50" s="11">
        <v>974</v>
      </c>
      <c r="AG50" s="11">
        <v>974</v>
      </c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</row>
    <row r="51" spans="1:74" ht="15" customHeight="1" x14ac:dyDescent="0.3">
      <c r="A51" s="130" t="s">
        <v>132</v>
      </c>
      <c r="B51" s="129">
        <f ca="1">MAX($B50:$M50)+MIN($B50:$M50)-B50</f>
        <v>91.25</v>
      </c>
      <c r="C51" s="129">
        <f t="shared" ref="C51:M51" ca="1" si="122">MAX($B50:$M50)+MIN($B50:$M50)-C50</f>
        <v>91.125</v>
      </c>
      <c r="D51" s="129">
        <f t="shared" ca="1" si="122"/>
        <v>90.958333333333343</v>
      </c>
      <c r="E51" s="129">
        <f t="shared" ca="1" si="122"/>
        <v>90.291666666666671</v>
      </c>
      <c r="F51" s="129">
        <f t="shared" ca="1" si="122"/>
        <v>89.291666666666671</v>
      </c>
      <c r="G51" s="129">
        <f t="shared" ca="1" si="122"/>
        <v>88.291666666666671</v>
      </c>
      <c r="H51" s="129">
        <f t="shared" ca="1" si="122"/>
        <v>84.291666666666671</v>
      </c>
      <c r="I51" s="129">
        <f t="shared" ca="1" si="122"/>
        <v>77.291666666666671</v>
      </c>
      <c r="J51" s="129">
        <f t="shared" ca="1" si="122"/>
        <v>70.291666666666671</v>
      </c>
      <c r="K51" s="129">
        <f t="shared" ca="1" si="122"/>
        <v>60.875</v>
      </c>
      <c r="L51" s="129">
        <f t="shared" ca="1" si="122"/>
        <v>30.458333333333336</v>
      </c>
      <c r="M51" s="129">
        <f t="shared" ca="1" si="122"/>
        <v>4.1666666666671404E-2</v>
      </c>
      <c r="AB51" s="11">
        <v>642</v>
      </c>
      <c r="AC51" s="11">
        <v>652</v>
      </c>
      <c r="AD51" s="11">
        <v>753</v>
      </c>
      <c r="AE51" s="11">
        <v>753</v>
      </c>
      <c r="AF51" s="11">
        <v>863</v>
      </c>
      <c r="AG51" s="11">
        <v>863</v>
      </c>
      <c r="AH51" s="11">
        <v>964</v>
      </c>
      <c r="AI51" s="11">
        <v>974</v>
      </c>
      <c r="AJ51" s="11">
        <v>774</v>
      </c>
      <c r="AK51" s="11">
        <v>775</v>
      </c>
      <c r="AL51" s="11">
        <v>885</v>
      </c>
      <c r="AM51" s="11">
        <v>885</v>
      </c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</row>
    <row r="52" spans="1:74" ht="15" customHeight="1" x14ac:dyDescent="0.35">
      <c r="A52" s="101" t="s">
        <v>125</v>
      </c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</row>
    <row r="53" spans="1:74" ht="15" customHeight="1" x14ac:dyDescent="0.3">
      <c r="A53" s="131" t="s">
        <v>124</v>
      </c>
      <c r="B53" s="129" t="str">
        <f t="shared" ref="B53:M53" ca="1" si="123">IF(EXACT(A43,B43),"N","Y")</f>
        <v>Y</v>
      </c>
      <c r="C53" s="129" t="str">
        <f t="shared" ca="1" si="123"/>
        <v>N</v>
      </c>
      <c r="D53" s="129" t="str">
        <f t="shared" ca="1" si="123"/>
        <v>N</v>
      </c>
      <c r="E53" s="129" t="str">
        <f t="shared" ca="1" si="123"/>
        <v>Y</v>
      </c>
      <c r="F53" s="129" t="str">
        <f t="shared" ca="1" si="123"/>
        <v>N</v>
      </c>
      <c r="G53" s="129" t="str">
        <f t="shared" ca="1" si="123"/>
        <v>N</v>
      </c>
      <c r="H53" s="129" t="str">
        <f t="shared" ca="1" si="123"/>
        <v>Y</v>
      </c>
      <c r="I53" s="129" t="str">
        <f t="shared" ca="1" si="123"/>
        <v>N</v>
      </c>
      <c r="J53" s="129" t="str">
        <f t="shared" ca="1" si="123"/>
        <v>N</v>
      </c>
      <c r="K53" s="129" t="str">
        <f t="shared" ca="1" si="123"/>
        <v>Y</v>
      </c>
      <c r="L53" s="129" t="str">
        <f t="shared" ca="1" si="123"/>
        <v>N</v>
      </c>
      <c r="M53" s="129" t="str">
        <f t="shared" ca="1" si="123"/>
        <v>N</v>
      </c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</row>
    <row r="54" spans="1:74" ht="15" customHeight="1" x14ac:dyDescent="0.3">
      <c r="A54" s="131" t="s">
        <v>129</v>
      </c>
      <c r="B54" s="129" t="str">
        <f t="shared" ref="B54:M54" ca="1" si="124">IF(EXACT(A46,B46),"N","Y")</f>
        <v>Y</v>
      </c>
      <c r="C54" s="129" t="str">
        <f t="shared" ca="1" si="124"/>
        <v>N</v>
      </c>
      <c r="D54" s="129" t="str">
        <f t="shared" ca="1" si="124"/>
        <v>N</v>
      </c>
      <c r="E54" s="129" t="str">
        <f t="shared" ca="1" si="124"/>
        <v>Y</v>
      </c>
      <c r="F54" s="129" t="str">
        <f t="shared" ca="1" si="124"/>
        <v>N</v>
      </c>
      <c r="G54" s="129" t="str">
        <f t="shared" ca="1" si="124"/>
        <v>N</v>
      </c>
      <c r="H54" s="129" t="str">
        <f t="shared" ca="1" si="124"/>
        <v>Y</v>
      </c>
      <c r="I54" s="129" t="str">
        <f t="shared" ca="1" si="124"/>
        <v>N</v>
      </c>
      <c r="J54" s="129" t="str">
        <f t="shared" ca="1" si="124"/>
        <v>N</v>
      </c>
      <c r="K54" s="129" t="str">
        <f t="shared" ca="1" si="124"/>
        <v>Y</v>
      </c>
      <c r="L54" s="129" t="str">
        <f t="shared" ca="1" si="124"/>
        <v>N</v>
      </c>
      <c r="M54" s="129" t="str">
        <f t="shared" ca="1" si="124"/>
        <v>N</v>
      </c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</row>
    <row r="55" spans="1:74" ht="15" customHeight="1" x14ac:dyDescent="0.3">
      <c r="A55" s="131" t="s">
        <v>123</v>
      </c>
      <c r="B55" s="129" t="str">
        <f t="shared" ref="B55:M55" ca="1" si="125">IF(EXACT(A48,B48),"N","Y")</f>
        <v>Y</v>
      </c>
      <c r="C55" s="129" t="str">
        <f t="shared" ca="1" si="125"/>
        <v>N</v>
      </c>
      <c r="D55" s="129" t="str">
        <f t="shared" ca="1" si="125"/>
        <v>N</v>
      </c>
      <c r="E55" s="129" t="str">
        <f t="shared" ca="1" si="125"/>
        <v>N</v>
      </c>
      <c r="F55" s="129" t="str">
        <f t="shared" ca="1" si="125"/>
        <v>N</v>
      </c>
      <c r="G55" s="129" t="str">
        <f t="shared" ca="1" si="125"/>
        <v>N</v>
      </c>
      <c r="H55" s="129" t="str">
        <f t="shared" ca="1" si="125"/>
        <v>N</v>
      </c>
      <c r="I55" s="129" t="str">
        <f t="shared" ca="1" si="125"/>
        <v>N</v>
      </c>
      <c r="J55" s="129" t="str">
        <f t="shared" ca="1" si="125"/>
        <v>N</v>
      </c>
      <c r="K55" s="129" t="str">
        <f t="shared" ca="1" si="125"/>
        <v>Y</v>
      </c>
      <c r="L55" s="129" t="str">
        <f t="shared" ca="1" si="125"/>
        <v>Y</v>
      </c>
      <c r="M55" s="129" t="str">
        <f t="shared" ca="1" si="125"/>
        <v>N</v>
      </c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</row>
    <row r="56" spans="1:74" ht="15" customHeight="1" x14ac:dyDescent="0.3"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</row>
    <row r="57" spans="1:74" ht="15" customHeight="1" x14ac:dyDescent="0.3"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</row>
  </sheetData>
  <mergeCells count="39">
    <mergeCell ref="BG45:BH45"/>
    <mergeCell ref="BG46:BH46"/>
    <mergeCell ref="BG47:BH47"/>
    <mergeCell ref="BG48:BH48"/>
    <mergeCell ref="BG49:BH49"/>
    <mergeCell ref="BE46:BF46"/>
    <mergeCell ref="BE47:BF47"/>
    <mergeCell ref="BE48:BF48"/>
    <mergeCell ref="BE49:BF49"/>
    <mergeCell ref="BE45:BF45"/>
    <mergeCell ref="AW48:AX48"/>
    <mergeCell ref="AY48:AZ48"/>
    <mergeCell ref="BA48:BB48"/>
    <mergeCell ref="BC48:BD48"/>
    <mergeCell ref="AW49:AX49"/>
    <mergeCell ref="AY49:AZ49"/>
    <mergeCell ref="BA49:BB49"/>
    <mergeCell ref="BC49:BD49"/>
    <mergeCell ref="BC46:BD46"/>
    <mergeCell ref="AW47:AX47"/>
    <mergeCell ref="AY47:AZ47"/>
    <mergeCell ref="BA47:BB47"/>
    <mergeCell ref="BC47:BD47"/>
    <mergeCell ref="AW42:AX42"/>
    <mergeCell ref="AW44:AX44"/>
    <mergeCell ref="AW46:AX46"/>
    <mergeCell ref="AY46:AZ46"/>
    <mergeCell ref="BA46:BB46"/>
    <mergeCell ref="O48:P48"/>
    <mergeCell ref="O43:P43"/>
    <mergeCell ref="O44:P44"/>
    <mergeCell ref="O45:P45"/>
    <mergeCell ref="O46:P46"/>
    <mergeCell ref="O47:P47"/>
    <mergeCell ref="AF44:AH44"/>
    <mergeCell ref="AF45:AH45"/>
    <mergeCell ref="AF42:AH42"/>
    <mergeCell ref="AF43:AH43"/>
    <mergeCell ref="O42:P42"/>
  </mergeCells>
  <conditionalFormatting sqref="B29:BV32">
    <cfRule type="cellIs" dxfId="0" priority="6" operator="equal">
      <formula>TRUE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Questionnaire</vt:lpstr>
      <vt:lpstr>Analysis</vt:lpstr>
      <vt:lpstr>⚙ Configure</vt:lpstr>
      <vt:lpstr>·</vt:lpstr>
      <vt:lpstr>Analysis_Criticality</vt:lpstr>
      <vt:lpstr>Analysis_MTO</vt:lpstr>
      <vt:lpstr>ComplianceRatings</vt:lpstr>
      <vt:lpstr>CustomerRatings</vt:lpstr>
      <vt:lpstr>FinancialRatings</vt:lpstr>
      <vt:lpstr>ReputationalRatings</vt:lpstr>
      <vt:lpstr>TimePeriods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Kendrick</dc:creator>
  <cp:lastModifiedBy>Eric Kendrick</cp:lastModifiedBy>
  <cp:lastPrinted>2019-12-22T22:59:25Z</cp:lastPrinted>
  <dcterms:created xsi:type="dcterms:W3CDTF">2019-05-09T21:01:46Z</dcterms:created>
  <dcterms:modified xsi:type="dcterms:W3CDTF">2021-07-31T18:55:26Z</dcterms:modified>
</cp:coreProperties>
</file>